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Unit Economics" sheetId="2" state="visible" r:id="rId4"/>
    <sheet name="Operating Model" sheetId="3" state="visible" r:id="rId5"/>
    <sheet name="Sensitivity" sheetId="4" state="visible" r:id="rId6"/>
    <sheet name="Use of Fund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<sst xmlns="http://schemas.openxmlformats.org/spreadsheetml/2006/main" count="165" uniqueCount="159">
  <si>
    <t xml:space="preserve">Shotgun - Financial Model</t>
  </si>
  <si>
    <t xml:space="preserve">Designated-driver-for-your-own-car - pilot launch model</t>
  </si>
  <si>
    <t xml:space="preserve">Color key: Blue = input | Black = formula | Green = cross-sheet link | Yellow = key assumption</t>
  </si>
  <si>
    <t xml:space="preserve">Pricing &amp; per-trip metrics</t>
  </si>
  <si>
    <t xml:space="preserve">Avg fare per Standard trip ($)</t>
  </si>
  <si>
    <t xml:space="preserve">Pilot pricing: $28 base + $2.20/mi @ ~3.6 mi billable</t>
  </si>
  <si>
    <t xml:space="preserve">Avg fare per By-the-hour trip ($)</t>
  </si>
  <si>
    <t xml:space="preserve">$45/hr x 2.4 hr avg duration</t>
  </si>
  <si>
    <t xml:space="preserve">Avg fare per Long-haul trip ($)</t>
  </si>
  <si>
    <t xml:space="preserve">$0.95/mi x 340 mi avg</t>
  </si>
  <si>
    <t xml:space="preserve">Mix: Standard %</t>
  </si>
  <si>
    <t xml:space="preserve">Heaviest in pilot - bar/medical core use</t>
  </si>
  <si>
    <t xml:space="preserve">Mix: By-the-hour %</t>
  </si>
  <si>
    <t xml:space="preserve">Mix: Long-haul %</t>
  </si>
  <si>
    <t xml:space="preserve">Long-haul is high-value but rare in pilot</t>
  </si>
  <si>
    <t xml:space="preserve">Blended fare per trip ($)</t>
  </si>
  <si>
    <t xml:space="preserve">Weighted average across service mix</t>
  </si>
  <si>
    <t xml:space="preserve">Driver economics</t>
  </si>
  <si>
    <t xml:space="preserve">Driver pay % of fare</t>
  </si>
  <si>
    <t xml:space="preserve">Industry-comparable; lower than Uber as driver doesn't supply vehicle</t>
  </si>
  <si>
    <t xml:space="preserve">Driver tips captured (% of fare)</t>
  </si>
  <si>
    <t xml:space="preserve">Driver keeps 100% of tips; not platform revenue</t>
  </si>
  <si>
    <t xml:space="preserve">Driver cost per trip - scooter &amp; ops ($)</t>
  </si>
  <si>
    <t xml:space="preserve">E-scooter amortization + battery + maintenance</t>
  </si>
  <si>
    <t xml:space="preserve">Platform costs per trip</t>
  </si>
  <si>
    <t xml:space="preserve">Insurance per active trip ($)</t>
  </si>
  <si>
    <t xml:space="preserve">Commercial auto policy, ~$0.025/min x 75 min avg</t>
  </si>
  <si>
    <t xml:space="preserve">Payment processing (% of fare)</t>
  </si>
  <si>
    <t xml:space="preserve">Stripe-equivalent</t>
  </si>
  <si>
    <t xml:space="preserve">Customer support per trip ($)</t>
  </si>
  <si>
    <t xml:space="preserve">AI-first; human escalation ~6%</t>
  </si>
  <si>
    <t xml:space="preserve">Tech/infra per trip ($)</t>
  </si>
  <si>
    <t xml:space="preserve">Cloud + maps + SMS</t>
  </si>
  <si>
    <t xml:space="preserve">Variable acquisition cost per trip ($)</t>
  </si>
  <si>
    <t xml:space="preserve">Decays with cohort age; this is steady-state blended</t>
  </si>
  <si>
    <t xml:space="preserve">Demand model - pilot city (Austin, TX)</t>
  </si>
  <si>
    <t xml:space="preserve">Metro adult population</t>
  </si>
  <si>
    <t xml:space="preserve">Austin-Round Rock MSA, est. 2026</t>
  </si>
  <si>
    <t xml:space="preserve">Adults who drove to drink last 30 days (%)</t>
  </si>
  <si>
    <t xml:space="preserve">NHTSA / proprietary survey, est.</t>
  </si>
  <si>
    <t xml:space="preserve">Addressable bar-night customers</t>
  </si>
  <si>
    <t xml:space="preserve">Calculated: metro x drove-to-drink %</t>
  </si>
  <si>
    <t xml:space="preserve">Trips per Shotgun customer per month</t>
  </si>
  <si>
    <t xml:space="preserve">Cohort 2 average from waitlist intent survey</t>
  </si>
  <si>
    <t xml:space="preserve">Pilot market penetration target - Mo 12</t>
  </si>
  <si>
    <t xml:space="preserve">% of addressable using Shotgun monthly by Mo 12</t>
  </si>
  <si>
    <t xml:space="preserve">Other-segment uplift (medical/long-haul/hourly)</t>
  </si>
  <si>
    <t xml:space="preserve">Trips from non-bar segments as % of bar trips</t>
  </si>
  <si>
    <t xml:space="preserve">Per-Trip Unit Economics</t>
  </si>
  <si>
    <t xml:space="preserve">Built from Assumptions tab. Change inputs there; this updates.</t>
  </si>
  <si>
    <t xml:space="preserve">Line item</t>
  </si>
  <si>
    <t xml:space="preserve">Per trip</t>
  </si>
  <si>
    <t xml:space="preserve">% of fare</t>
  </si>
  <si>
    <t xml:space="preserve">Notes</t>
  </si>
  <si>
    <t xml:space="preserve">Blended fare</t>
  </si>
  <si>
    <t xml:space="preserve">Avg revenue per trip across mix</t>
  </si>
  <si>
    <t xml:space="preserve">Driver pay (incl. base + bonuses)</t>
  </si>
  <si>
    <t xml:space="preserve">% of fare to driver</t>
  </si>
  <si>
    <t xml:space="preserve">Driver scooter/ops cost (passed-thru)</t>
  </si>
  <si>
    <t xml:space="preserve">Insurance (commercial auto, per trip)</t>
  </si>
  <si>
    <t xml:space="preserve">Payment processing</t>
  </si>
  <si>
    <t xml:space="preserve">Customer support</t>
  </si>
  <si>
    <t xml:space="preserve">Tech/infra</t>
  </si>
  <si>
    <t xml:space="preserve">Variable customer acquisition</t>
  </si>
  <si>
    <t xml:space="preserve">Steady-state, blended cohort</t>
  </si>
  <si>
    <t xml:space="preserve">Contribution margin per trip</t>
  </si>
  <si>
    <t xml:space="preserve">Cash to platform after all variable costs</t>
  </si>
  <si>
    <t xml:space="preserve">Take rate (platform revenue / GMV)</t>
  </si>
  <si>
    <t xml:space="preserve">Net revenue to Shotgun before variable platform costs</t>
  </si>
  <si>
    <t xml:space="preserve">Target contribution margin</t>
  </si>
  <si>
    <t xml:space="preserve">Goal: 16%+ at maturity (vs. modeled current)</t>
  </si>
  <si>
    <t xml:space="preserve">Comparison to rideshare benchmark</t>
  </si>
  <si>
    <t xml:space="preserve">Uber, public 2024 take rate (vehicle-included)</t>
  </si>
  <si>
    <t xml:space="preserve">Shotgun modeled take rate</t>
  </si>
  <si>
    <t xml:space="preserve">Note</t>
  </si>
  <si>
    <t xml:space="preserve">Lower take justified - driver doesn't supply vehicle so absolute pay can be lower while % is competitive.</t>
  </si>
  <si>
    <t xml:space="preserve">24-Month Operating Model</t>
  </si>
  <si>
    <t xml:space="preserve">Single-city pilot (Mo 1-9), 4-city expansion (Mo 10-24). All projections.</t>
  </si>
  <si>
    <t xml:space="preserve">Month</t>
  </si>
  <si>
    <t xml:space="preserve">Mo 1</t>
  </si>
  <si>
    <t xml:space="preserve">Mo 2</t>
  </si>
  <si>
    <t xml:space="preserve">Mo 3</t>
  </si>
  <si>
    <t xml:space="preserve">Mo 4</t>
  </si>
  <si>
    <t xml:space="preserve">Mo 5</t>
  </si>
  <si>
    <t xml:space="preserve">Mo 6</t>
  </si>
  <si>
    <t xml:space="preserve">Mo 7</t>
  </si>
  <si>
    <t xml:space="preserve">Mo 8</t>
  </si>
  <si>
    <t xml:space="preserve">Mo 9</t>
  </si>
  <si>
    <t xml:space="preserve">Mo 10</t>
  </si>
  <si>
    <t xml:space="preserve">Mo 11</t>
  </si>
  <si>
    <t xml:space="preserve">Mo 12</t>
  </si>
  <si>
    <t xml:space="preserve">Mo 13</t>
  </si>
  <si>
    <t xml:space="preserve">Mo 14</t>
  </si>
  <si>
    <t xml:space="preserve">Mo 15</t>
  </si>
  <si>
    <t xml:space="preserve">Mo 16</t>
  </si>
  <si>
    <t xml:space="preserve">Mo 17</t>
  </si>
  <si>
    <t xml:space="preserve">Mo 18</t>
  </si>
  <si>
    <t xml:space="preserve">Mo 19</t>
  </si>
  <si>
    <t xml:space="preserve">Mo 20</t>
  </si>
  <si>
    <t xml:space="preserve">Mo 21</t>
  </si>
  <si>
    <t xml:space="preserve">Mo 22</t>
  </si>
  <si>
    <t xml:space="preserve">Mo 23</t>
  </si>
  <si>
    <t xml:space="preserve">Mo 24</t>
  </si>
  <si>
    <t xml:space="preserve">Cities live</t>
  </si>
  <si>
    <t xml:space="preserve">Trips per city / month</t>
  </si>
  <si>
    <t xml:space="preserve">Total trips</t>
  </si>
  <si>
    <t xml:space="preserve">GMV (gross fare)</t>
  </si>
  <si>
    <t xml:space="preserve">Net revenue (take)</t>
  </si>
  <si>
    <t xml:space="preserve">Variable platform costs</t>
  </si>
  <si>
    <t xml:space="preserve">Variable costs (insurance + ops + CAC + processing)</t>
  </si>
  <si>
    <t xml:space="preserve">Contribution margin ($)</t>
  </si>
  <si>
    <t xml:space="preserve">Contribution margin (%)</t>
  </si>
  <si>
    <t xml:space="preserve">Fixed costs</t>
  </si>
  <si>
    <t xml:space="preserve">Salaries &amp; contractors</t>
  </si>
  <si>
    <t xml:space="preserve">Tech infrastructure &amp; tools</t>
  </si>
  <si>
    <t xml:space="preserve">Marketing &amp; growth (above CAC)</t>
  </si>
  <si>
    <t xml:space="preserve">Driver acquisition &amp; onboarding</t>
  </si>
  <si>
    <t xml:space="preserve">G&amp;A (legal, finance, office)</t>
  </si>
  <si>
    <t xml:space="preserve">Total fixed costs</t>
  </si>
  <si>
    <t xml:space="preserve">EBITDA</t>
  </si>
  <si>
    <t xml:space="preserve">Beginning cash</t>
  </si>
  <si>
    <t xml:space="preserve">Ending cash</t>
  </si>
  <si>
    <t xml:space="preserve">Cumulative trips</t>
  </si>
  <si>
    <t xml:space="preserve">Cumulative GMV</t>
  </si>
  <si>
    <t xml:space="preserve">Sensitivity - Mo-24 Annualized EBITDA</t>
  </si>
  <si>
    <t xml:space="preserve">Driver pay % (rows) x Trips/city/month at Mo 24 (cols). Values in $M annualized.</t>
  </si>
  <si>
    <t xml:space="preserve">Trips / city / month at Mo 24</t>
  </si>
  <si>
    <t xml:space="preserve">Driver pay %</t>
  </si>
  <si>
    <t xml:space="preserve">Read this:</t>
  </si>
  <si>
    <t xml:space="preserve">Center cell is base case Mo-24 annualized EBITDA at 68% driver pay x 55K trips/city/mo.</t>
  </si>
  <si>
    <t xml:space="preserve">Up-and-right (more trips, less driver pay) is high EBITDA but supply-side risky - drivers churn.</t>
  </si>
  <si>
    <t xml:space="preserve">Down-and-left (high pay, low volume) is the failure mode: we lose money but drivers stay.</t>
  </si>
  <si>
    <t xml:space="preserve">Investable region: ~66-72% driver pay x 50-65K trips/city/mo.</t>
  </si>
  <si>
    <t xml:space="preserve">Seed Round Use of Funds</t>
  </si>
  <si>
    <t xml:space="preserve">$5.0M seed - 18 months runway - Series A target Mo 14-16</t>
  </si>
  <si>
    <t xml:space="preserve">Category</t>
  </si>
  <si>
    <t xml:space="preserve">Allocation ($M)</t>
  </si>
  <si>
    <t xml:space="preserve">% of round</t>
  </si>
  <si>
    <t xml:space="preserve">What it buys</t>
  </si>
  <si>
    <t xml:space="preserve">Engineering &amp; product</t>
  </si>
  <si>
    <t xml:space="preserve">8 engineers, 1 PM, 1 designer for 18 mo (rider app, driver app, dispatch, insurance integration)</t>
  </si>
  <si>
    <t xml:space="preserve">City launches (4 markets)</t>
  </si>
  <si>
    <t xml:space="preserve">Driver acquisition, hub setup, local marketing across 4 cities Mo 1-15</t>
  </si>
  <si>
    <t xml:space="preserve">Insurance underwriting &amp; legal</t>
  </si>
  <si>
    <t xml:space="preserve">Custom commercial-auto policy, regulatory, T&amp;Cs, driver agreement</t>
  </si>
  <si>
    <t xml:space="preserve">Operations &amp; support</t>
  </si>
  <si>
    <t xml:space="preserve">AI-first support stack + 6 human escalation reps by Mo 24</t>
  </si>
  <si>
    <t xml:space="preserve">Marketing &amp; brand</t>
  </si>
  <si>
    <t xml:space="preserve">Brand identity, performance marketing, paid social</t>
  </si>
  <si>
    <t xml:space="preserve">Working capital &amp; buffer</t>
  </si>
  <si>
    <t xml:space="preserve">Insurance prepays, driver payout float, contingency</t>
  </si>
  <si>
    <t xml:space="preserve">TOTAL</t>
  </si>
  <si>
    <t xml:space="preserve">Milestones unlocked by this raise</t>
  </si>
  <si>
    <t xml:space="preserve">Pilot launches, first 1,000 paid trips</t>
  </si>
  <si>
    <t xml:space="preserve">Contribution-margin positive in pilot city</t>
  </si>
  <si>
    <t xml:space="preserve">Pilot-city take rate stabilized; ready for City #2</t>
  </si>
  <si>
    <t xml:space="preserve">2 cities live, $900K monthly GMV</t>
  </si>
  <si>
    <t xml:space="preserve">3 cities live, Series A pitch in market</t>
  </si>
  <si>
    <t xml:space="preserve">4 cities live, ~$2.5M monthly GMV, Series A closed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</si>
</sst>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;&quot;($&quot;#,##0.00\);\-"/>
    <numFmt numFmtId="166" formatCode="0.0%;\(0.0%\);\-"/>
    <numFmt numFmtId="167" formatCode="#,##0;\(#,##0\);\-"/>
    <numFmt numFmtId="168" formatCode="\$#,##0;&quot;($&quot;#,##0\);\-"/>
    <numFmt numFmtId="169" formatCode="\$#,##0.0\M;&quot;($&quot;#,##0.0&quot;M)&quot;;\-"/>
    <numFmt numFmtId="170" formatCode="\$#,##0.0\M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1733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2"/>
      <color rgb="FF0A1733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6"/>
      <color rgb="FF0A17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8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4B33C"/>
        <bgColor rgb="FFFF9900"/>
      </patternFill>
    </fill>
    <fill>
      <patternFill patternType="solid">
        <fgColor rgb="FFFFFACD"/>
        <bgColor rgb="FFF7F4ED"/>
      </patternFill>
    </fill>
    <fill>
      <patternFill patternType="solid">
        <fgColor rgb="FF0A1733"/>
        <bgColor rgb="FF000000"/>
      </patternFill>
    </fill>
    <fill>
      <patternFill patternType="solid">
        <fgColor rgb="FFF7F4ED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ACD"/>
      <rgbColor rgb="FFF7F4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4B33C"/>
      <rgbColor rgb="FFFF9900"/>
      <rgbColor rgb="FFFF6600"/>
      <rgbColor rgb="FF6B7280"/>
      <rgbColor rgb="FF969696"/>
      <rgbColor rgb="FF0A173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8"/>
    <col collapsed="false" customWidth="true" hidden="false" outlineLevel="0" max="3" min="3" style="0" width="56"/>
  </cols>
  <sheetData>
    <row r="1" customFormat="false" ht="24.4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5" customFormat="false" ht="15" hidden="false" customHeight="false" outlineLevel="0" collapsed="false">
      <c r="A5" s="3" t="s">
        <v>3</v>
      </c>
    </row>
    <row r="6" customFormat="false" ht="15" hidden="false" customHeight="false" outlineLevel="0" collapsed="false">
      <c r="A6" s="4" t="s">
        <v>4</v>
      </c>
      <c r="B6" s="5" t="n">
        <v>36</v>
      </c>
      <c r="C6" s="6" t="s">
        <v>5</v>
      </c>
    </row>
    <row r="7" customFormat="false" ht="15" hidden="false" customHeight="false" outlineLevel="0" collapsed="false">
      <c r="A7" s="4" t="s">
        <v>6</v>
      </c>
      <c r="B7" s="5" t="n">
        <v>110</v>
      </c>
      <c r="C7" s="6" t="s">
        <v>7</v>
      </c>
    </row>
    <row r="8" customFormat="false" ht="15" hidden="false" customHeight="false" outlineLevel="0" collapsed="false">
      <c r="A8" s="4" t="s">
        <v>8</v>
      </c>
      <c r="B8" s="5" t="n">
        <v>320</v>
      </c>
      <c r="C8" s="6" t="s">
        <v>9</v>
      </c>
    </row>
    <row r="9" customFormat="false" ht="15" hidden="false" customHeight="false" outlineLevel="0" collapsed="false">
      <c r="A9" s="4" t="s">
        <v>10</v>
      </c>
      <c r="B9" s="7" t="n">
        <v>0.78</v>
      </c>
      <c r="C9" s="6" t="s">
        <v>11</v>
      </c>
    </row>
    <row r="10" customFormat="false" ht="15" hidden="false" customHeight="false" outlineLevel="0" collapsed="false">
      <c r="A10" s="4" t="s">
        <v>12</v>
      </c>
      <c r="B10" s="7" t="n">
        <v>0.18</v>
      </c>
      <c r="C10" s="6"/>
    </row>
    <row r="11" customFormat="false" ht="15" hidden="false" customHeight="false" outlineLevel="0" collapsed="false">
      <c r="A11" s="4" t="s">
        <v>13</v>
      </c>
      <c r="B11" s="7" t="n">
        <v>0.04</v>
      </c>
      <c r="C11" s="6" t="s">
        <v>14</v>
      </c>
    </row>
    <row r="12" customFormat="false" ht="15" hidden="false" customHeight="false" outlineLevel="0" collapsed="false">
      <c r="A12" s="8" t="s">
        <v>15</v>
      </c>
      <c r="B12" s="9" t="n">
        <f aca="false">B6*B9 + B7*B10 + B8*B11</f>
        <v>60.68</v>
      </c>
      <c r="C12" s="2" t="s">
        <v>16</v>
      </c>
    </row>
    <row r="14" customFormat="false" ht="15" hidden="false" customHeight="false" outlineLevel="0" collapsed="false">
      <c r="A14" s="3" t="s">
        <v>17</v>
      </c>
    </row>
    <row r="15" customFormat="false" ht="15" hidden="false" customHeight="false" outlineLevel="0" collapsed="false">
      <c r="A15" s="4" t="s">
        <v>18</v>
      </c>
      <c r="B15" s="7" t="n">
        <v>0.68</v>
      </c>
      <c r="C15" s="2" t="s">
        <v>19</v>
      </c>
    </row>
    <row r="16" customFormat="false" ht="15" hidden="false" customHeight="false" outlineLevel="0" collapsed="false">
      <c r="A16" s="4" t="s">
        <v>20</v>
      </c>
      <c r="B16" s="7" t="n">
        <v>0.06</v>
      </c>
      <c r="C16" s="2" t="s">
        <v>21</v>
      </c>
    </row>
    <row r="17" customFormat="false" ht="15" hidden="false" customHeight="false" outlineLevel="0" collapsed="false">
      <c r="A17" s="4" t="s">
        <v>22</v>
      </c>
      <c r="B17" s="5" t="n">
        <v>0.85</v>
      </c>
      <c r="C17" s="2" t="s">
        <v>23</v>
      </c>
    </row>
    <row r="19" customFormat="false" ht="15" hidden="false" customHeight="false" outlineLevel="0" collapsed="false">
      <c r="A19" s="3" t="s">
        <v>24</v>
      </c>
    </row>
    <row r="20" customFormat="false" ht="15" hidden="false" customHeight="false" outlineLevel="0" collapsed="false">
      <c r="A20" s="4" t="s">
        <v>25</v>
      </c>
      <c r="B20" s="5" t="n">
        <v>1.85</v>
      </c>
      <c r="C20" s="2" t="s">
        <v>26</v>
      </c>
    </row>
    <row r="21" customFormat="false" ht="15" hidden="false" customHeight="false" outlineLevel="0" collapsed="false">
      <c r="A21" s="4" t="s">
        <v>27</v>
      </c>
      <c r="B21" s="7" t="n">
        <v>0.029</v>
      </c>
      <c r="C21" s="2" t="s">
        <v>28</v>
      </c>
    </row>
    <row r="22" customFormat="false" ht="15" hidden="false" customHeight="false" outlineLevel="0" collapsed="false">
      <c r="A22" s="4" t="s">
        <v>29</v>
      </c>
      <c r="B22" s="5" t="n">
        <v>0.4</v>
      </c>
      <c r="C22" s="2" t="s">
        <v>30</v>
      </c>
    </row>
    <row r="23" customFormat="false" ht="15" hidden="false" customHeight="false" outlineLevel="0" collapsed="false">
      <c r="A23" s="4" t="s">
        <v>31</v>
      </c>
      <c r="B23" s="5" t="n">
        <v>0.18</v>
      </c>
      <c r="C23" s="2" t="s">
        <v>32</v>
      </c>
    </row>
    <row r="24" customFormat="false" ht="15" hidden="false" customHeight="false" outlineLevel="0" collapsed="false">
      <c r="A24" s="4" t="s">
        <v>33</v>
      </c>
      <c r="B24" s="5" t="n">
        <v>1.1</v>
      </c>
      <c r="C24" s="2" t="s">
        <v>34</v>
      </c>
    </row>
    <row r="26" customFormat="false" ht="15" hidden="false" customHeight="false" outlineLevel="0" collapsed="false">
      <c r="A26" s="3" t="s">
        <v>35</v>
      </c>
    </row>
    <row r="27" customFormat="false" ht="15" hidden="false" customHeight="false" outlineLevel="0" collapsed="false">
      <c r="A27" s="4" t="s">
        <v>36</v>
      </c>
      <c r="B27" s="10" t="n">
        <v>2200000</v>
      </c>
      <c r="C27" s="2" t="s">
        <v>37</v>
      </c>
    </row>
    <row r="28" customFormat="false" ht="15" hidden="false" customHeight="false" outlineLevel="0" collapsed="false">
      <c r="A28" s="4" t="s">
        <v>38</v>
      </c>
      <c r="B28" s="7" t="n">
        <v>0.22</v>
      </c>
      <c r="C28" s="2" t="s">
        <v>39</v>
      </c>
    </row>
    <row r="29" customFormat="false" ht="15" hidden="false" customHeight="false" outlineLevel="0" collapsed="false">
      <c r="A29" s="4" t="s">
        <v>40</v>
      </c>
      <c r="B29" s="11" t="n">
        <f aca="false">B27*B28</f>
        <v>484000</v>
      </c>
      <c r="C29" s="2" t="s">
        <v>41</v>
      </c>
    </row>
    <row r="30" customFormat="false" ht="15" hidden="false" customHeight="false" outlineLevel="0" collapsed="false">
      <c r="A30" s="4" t="s">
        <v>42</v>
      </c>
      <c r="B30" s="10" t="n">
        <v>1.6</v>
      </c>
      <c r="C30" s="2" t="s">
        <v>43</v>
      </c>
    </row>
    <row r="31" customFormat="false" ht="15" hidden="false" customHeight="false" outlineLevel="0" collapsed="false">
      <c r="A31" s="4" t="s">
        <v>44</v>
      </c>
      <c r="B31" s="7" t="n">
        <v>0.025</v>
      </c>
      <c r="C31" s="2" t="s">
        <v>45</v>
      </c>
    </row>
    <row r="32" customFormat="false" ht="15" hidden="false" customHeight="false" outlineLevel="0" collapsed="false">
      <c r="A32" s="4" t="s">
        <v>46</v>
      </c>
      <c r="B32" s="7" t="n">
        <v>0.18</v>
      </c>
      <c r="C32" s="2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50"/>
  </cols>
  <sheetData>
    <row r="1" customFormat="false" ht="19.7" hidden="false" customHeight="false" outlineLevel="0" collapsed="false">
      <c r="A1" s="12" t="s">
        <v>48</v>
      </c>
    </row>
    <row r="2" customFormat="false" ht="15" hidden="false" customHeight="false" outlineLevel="0" collapsed="false">
      <c r="A2" s="2" t="s">
        <v>49</v>
      </c>
    </row>
    <row r="4" customFormat="false" ht="15" hidden="false" customHeight="false" outlineLevel="0" collapsed="false">
      <c r="A4" s="13" t="s">
        <v>50</v>
      </c>
      <c r="B4" s="13" t="s">
        <v>51</v>
      </c>
      <c r="C4" s="13" t="s">
        <v>52</v>
      </c>
      <c r="D4" s="13" t="s">
        <v>53</v>
      </c>
    </row>
    <row r="5" customFormat="false" ht="15" hidden="false" customHeight="false" outlineLevel="0" collapsed="false">
      <c r="A5" s="4" t="s">
        <v>54</v>
      </c>
      <c r="B5" s="14" t="n">
        <f aca="false">Assumptions!B12</f>
        <v>60.68</v>
      </c>
      <c r="C5" s="15" t="n">
        <f aca="false">B5/B5</f>
        <v>1</v>
      </c>
      <c r="D5" s="6" t="s">
        <v>55</v>
      </c>
    </row>
    <row r="6" customFormat="false" ht="15" hidden="false" customHeight="false" outlineLevel="0" collapsed="false">
      <c r="A6" s="4" t="s">
        <v>56</v>
      </c>
      <c r="B6" s="14" t="n">
        <f aca="false">B5*Assumptions!B15</f>
        <v>41.2624</v>
      </c>
      <c r="C6" s="15" t="n">
        <f aca="false">B6/$B$5</f>
        <v>0.68</v>
      </c>
      <c r="D6" s="6" t="s">
        <v>57</v>
      </c>
    </row>
    <row r="7" customFormat="false" ht="15" hidden="false" customHeight="false" outlineLevel="0" collapsed="false">
      <c r="A7" s="4" t="s">
        <v>58</v>
      </c>
      <c r="B7" s="14" t="n">
        <f aca="false">Assumptions!B17</f>
        <v>0.85</v>
      </c>
      <c r="C7" s="15" t="n">
        <f aca="false">B7/$B$5</f>
        <v>0.0140079103493738</v>
      </c>
      <c r="D7" s="6"/>
    </row>
    <row r="8" customFormat="false" ht="15" hidden="false" customHeight="false" outlineLevel="0" collapsed="false">
      <c r="A8" s="4" t="s">
        <v>59</v>
      </c>
      <c r="B8" s="14" t="n">
        <f aca="false">Assumptions!B20</f>
        <v>1.85</v>
      </c>
      <c r="C8" s="15" t="n">
        <f aca="false">B8/$B$5</f>
        <v>0.0304878048780488</v>
      </c>
      <c r="D8" s="6"/>
    </row>
    <row r="9" customFormat="false" ht="15" hidden="false" customHeight="false" outlineLevel="0" collapsed="false">
      <c r="A9" s="4" t="s">
        <v>60</v>
      </c>
      <c r="B9" s="14" t="n">
        <f aca="false">B5*Assumptions!B21</f>
        <v>1.75972</v>
      </c>
      <c r="C9" s="15" t="n">
        <f aca="false">B9/$B$5</f>
        <v>0.029</v>
      </c>
      <c r="D9" s="6"/>
    </row>
    <row r="10" customFormat="false" ht="15" hidden="false" customHeight="false" outlineLevel="0" collapsed="false">
      <c r="A10" s="4" t="s">
        <v>61</v>
      </c>
      <c r="B10" s="14" t="n">
        <f aca="false">Assumptions!B22</f>
        <v>0.4</v>
      </c>
      <c r="C10" s="15" t="n">
        <f aca="false">B10/$B$5</f>
        <v>0.00659195781147001</v>
      </c>
      <c r="D10" s="6"/>
    </row>
    <row r="11" customFormat="false" ht="15" hidden="false" customHeight="false" outlineLevel="0" collapsed="false">
      <c r="A11" s="4" t="s">
        <v>62</v>
      </c>
      <c r="B11" s="14" t="n">
        <f aca="false">Assumptions!B23</f>
        <v>0.18</v>
      </c>
      <c r="C11" s="15" t="n">
        <f aca="false">B11/$B$5</f>
        <v>0.0029663810151615</v>
      </c>
      <c r="D11" s="6"/>
    </row>
    <row r="12" customFormat="false" ht="15" hidden="false" customHeight="false" outlineLevel="0" collapsed="false">
      <c r="A12" s="4" t="s">
        <v>63</v>
      </c>
      <c r="B12" s="14" t="n">
        <f aca="false">Assumptions!B24</f>
        <v>1.1</v>
      </c>
      <c r="C12" s="15" t="n">
        <f aca="false">B12/$B$5</f>
        <v>0.0181278839815425</v>
      </c>
      <c r="D12" s="6" t="s">
        <v>64</v>
      </c>
    </row>
    <row r="14" customFormat="false" ht="15" hidden="false" customHeight="false" outlineLevel="0" collapsed="false">
      <c r="A14" s="16" t="s">
        <v>65</v>
      </c>
      <c r="B14" s="17" t="n">
        <f aca="false">B5 - SUM(B6:B12)</f>
        <v>13.27788</v>
      </c>
      <c r="C14" s="18" t="n">
        <f aca="false">B14/$B$5</f>
        <v>0.218818061964403</v>
      </c>
      <c r="D14" s="2" t="s">
        <v>66</v>
      </c>
    </row>
    <row r="16" customFormat="false" ht="15" hidden="false" customHeight="false" outlineLevel="0" collapsed="false">
      <c r="A16" s="8" t="s">
        <v>67</v>
      </c>
      <c r="B16" s="19" t="n">
        <f aca="false">B5 - B6</f>
        <v>19.4176</v>
      </c>
      <c r="C16" s="20" t="n">
        <f aca="false">B16/B5</f>
        <v>0.32</v>
      </c>
      <c r="D16" s="2" t="s">
        <v>68</v>
      </c>
    </row>
    <row r="18" customFormat="false" ht="15" hidden="false" customHeight="false" outlineLevel="0" collapsed="false">
      <c r="A18" s="4" t="s">
        <v>69</v>
      </c>
      <c r="B18" s="14" t="n">
        <f aca="false">Assumptions!B12*0.16</f>
        <v>9.7088</v>
      </c>
      <c r="C18" s="7" t="n">
        <v>0.16</v>
      </c>
      <c r="D18" s="2" t="s">
        <v>70</v>
      </c>
    </row>
    <row r="20" customFormat="false" ht="15" hidden="false" customHeight="false" outlineLevel="0" collapsed="false">
      <c r="A20" s="21" t="s">
        <v>71</v>
      </c>
    </row>
    <row r="21" customFormat="false" ht="15" hidden="false" customHeight="false" outlineLevel="0" collapsed="false">
      <c r="A21" s="4" t="s">
        <v>72</v>
      </c>
      <c r="B21" s="7" t="n">
        <v>0.276</v>
      </c>
    </row>
    <row r="22" customFormat="false" ht="15" hidden="false" customHeight="false" outlineLevel="0" collapsed="false">
      <c r="A22" s="4" t="s">
        <v>73</v>
      </c>
      <c r="B22" s="15" t="n">
        <f aca="false">C16</f>
        <v>0.32</v>
      </c>
    </row>
    <row r="23" customFormat="false" ht="22.35" hidden="false" customHeight="true" outlineLevel="0" collapsed="false">
      <c r="A23" s="4" t="s">
        <v>74</v>
      </c>
      <c r="B23" s="22" t="s">
        <v>75</v>
      </c>
      <c r="C23" s="22"/>
      <c r="D23" s="22"/>
    </row>
  </sheetData>
  <mergeCells count="1">
    <mergeCell ref="B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5" min="2" style="0" width="12"/>
  </cols>
  <sheetData>
    <row r="1" customFormat="false" ht="19.7" hidden="false" customHeight="false" outlineLevel="0" collapsed="false">
      <c r="A1" s="12" t="s">
        <v>76</v>
      </c>
    </row>
    <row r="2" customFormat="false" ht="15" hidden="false" customHeight="false" outlineLevel="0" collapsed="false">
      <c r="A2" s="2" t="s">
        <v>77</v>
      </c>
    </row>
    <row r="4" customFormat="false" ht="15" hidden="false" customHeight="false" outlineLevel="0" collapsed="false">
      <c r="A4" s="23" t="s">
        <v>78</v>
      </c>
      <c r="B4" s="23" t="s">
        <v>79</v>
      </c>
      <c r="C4" s="23" t="s">
        <v>80</v>
      </c>
      <c r="D4" s="23" t="s">
        <v>81</v>
      </c>
      <c r="E4" s="23" t="s">
        <v>82</v>
      </c>
      <c r="F4" s="23" t="s">
        <v>83</v>
      </c>
      <c r="G4" s="23" t="s">
        <v>84</v>
      </c>
      <c r="H4" s="23" t="s">
        <v>85</v>
      </c>
      <c r="I4" s="23" t="s">
        <v>86</v>
      </c>
      <c r="J4" s="23" t="s">
        <v>87</v>
      </c>
      <c r="K4" s="23" t="s">
        <v>88</v>
      </c>
      <c r="L4" s="23" t="s">
        <v>89</v>
      </c>
      <c r="M4" s="23" t="s">
        <v>90</v>
      </c>
      <c r="N4" s="23" t="s">
        <v>91</v>
      </c>
      <c r="O4" s="23" t="s">
        <v>92</v>
      </c>
      <c r="P4" s="23" t="s">
        <v>93</v>
      </c>
      <c r="Q4" s="23" t="s">
        <v>94</v>
      </c>
      <c r="R4" s="23" t="s">
        <v>95</v>
      </c>
      <c r="S4" s="23" t="s">
        <v>96</v>
      </c>
      <c r="T4" s="23" t="s">
        <v>97</v>
      </c>
      <c r="U4" s="23" t="s">
        <v>98</v>
      </c>
      <c r="V4" s="23" t="s">
        <v>99</v>
      </c>
      <c r="W4" s="23" t="s">
        <v>100</v>
      </c>
      <c r="X4" s="23" t="s">
        <v>101</v>
      </c>
      <c r="Y4" s="23" t="s">
        <v>102</v>
      </c>
    </row>
    <row r="5" customFormat="false" ht="15" hidden="false" customHeight="false" outlineLevel="0" collapsed="false">
      <c r="A5" s="4" t="s">
        <v>103</v>
      </c>
      <c r="B5" s="24" t="n">
        <v>1</v>
      </c>
      <c r="C5" s="24" t="n">
        <v>1</v>
      </c>
      <c r="D5" s="24" t="n">
        <v>1</v>
      </c>
      <c r="E5" s="24" t="n">
        <v>1</v>
      </c>
      <c r="F5" s="24" t="n">
        <v>1</v>
      </c>
      <c r="G5" s="24" t="n">
        <v>1</v>
      </c>
      <c r="H5" s="24" t="n">
        <v>1</v>
      </c>
      <c r="I5" s="24" t="n">
        <v>1</v>
      </c>
      <c r="J5" s="24" t="n">
        <v>1</v>
      </c>
      <c r="K5" s="24" t="n">
        <v>2</v>
      </c>
      <c r="L5" s="24" t="n">
        <v>2</v>
      </c>
      <c r="M5" s="24" t="n">
        <v>2</v>
      </c>
      <c r="N5" s="24" t="n">
        <v>3</v>
      </c>
      <c r="O5" s="24" t="n">
        <v>3</v>
      </c>
      <c r="P5" s="24" t="n">
        <v>3</v>
      </c>
      <c r="Q5" s="24" t="n">
        <v>4</v>
      </c>
      <c r="R5" s="24" t="n">
        <v>4</v>
      </c>
      <c r="S5" s="24" t="n">
        <v>4</v>
      </c>
      <c r="T5" s="24" t="n">
        <v>4</v>
      </c>
      <c r="U5" s="24" t="n">
        <v>4</v>
      </c>
      <c r="V5" s="24" t="n">
        <v>4</v>
      </c>
      <c r="W5" s="24" t="n">
        <v>4</v>
      </c>
      <c r="X5" s="24" t="n">
        <v>4</v>
      </c>
      <c r="Y5" s="24" t="n">
        <v>4</v>
      </c>
    </row>
    <row r="6" customFormat="false" ht="15" hidden="false" customHeight="false" outlineLevel="0" collapsed="false">
      <c r="A6" s="4" t="s">
        <v>104</v>
      </c>
      <c r="B6" s="25" t="n">
        <v>400</v>
      </c>
      <c r="C6" s="25" t="n">
        <v>900</v>
      </c>
      <c r="D6" s="25" t="n">
        <v>1800</v>
      </c>
      <c r="E6" s="25" t="n">
        <v>3000</v>
      </c>
      <c r="F6" s="25" t="n">
        <v>4500</v>
      </c>
      <c r="G6" s="25" t="n">
        <v>6500</v>
      </c>
      <c r="H6" s="25" t="n">
        <v>9000</v>
      </c>
      <c r="I6" s="25" t="n">
        <v>12000</v>
      </c>
      <c r="J6" s="25" t="n">
        <v>15500</v>
      </c>
      <c r="K6" s="25" t="n">
        <v>19000</v>
      </c>
      <c r="L6" s="25" t="n">
        <v>22000</v>
      </c>
      <c r="M6" s="25" t="n">
        <v>25000</v>
      </c>
      <c r="N6" s="25" t="n">
        <v>27500</v>
      </c>
      <c r="O6" s="25" t="n">
        <v>30000</v>
      </c>
      <c r="P6" s="25" t="n">
        <v>32500</v>
      </c>
      <c r="Q6" s="25" t="n">
        <v>35000</v>
      </c>
      <c r="R6" s="25" t="n">
        <v>37500</v>
      </c>
      <c r="S6" s="25" t="n">
        <v>40000</v>
      </c>
      <c r="T6" s="25" t="n">
        <v>42500</v>
      </c>
      <c r="U6" s="25" t="n">
        <v>45000</v>
      </c>
      <c r="V6" s="25" t="n">
        <v>47500</v>
      </c>
      <c r="W6" s="25" t="n">
        <v>50000</v>
      </c>
      <c r="X6" s="25" t="n">
        <v>52500</v>
      </c>
      <c r="Y6" s="25" t="n">
        <v>55000</v>
      </c>
    </row>
    <row r="7" customFormat="false" ht="15" hidden="false" customHeight="false" outlineLevel="0" collapsed="false">
      <c r="A7" s="8" t="s">
        <v>105</v>
      </c>
      <c r="B7" s="26" t="n">
        <f aca="false">B5*B6</f>
        <v>400</v>
      </c>
      <c r="C7" s="26" t="n">
        <f aca="false">C5*C6</f>
        <v>900</v>
      </c>
      <c r="D7" s="26" t="n">
        <f aca="false">D5*D6</f>
        <v>1800</v>
      </c>
      <c r="E7" s="26" t="n">
        <f aca="false">E5*E6</f>
        <v>3000</v>
      </c>
      <c r="F7" s="26" t="n">
        <f aca="false">F5*F6</f>
        <v>4500</v>
      </c>
      <c r="G7" s="26" t="n">
        <f aca="false">G5*G6</f>
        <v>6500</v>
      </c>
      <c r="H7" s="26" t="n">
        <f aca="false">H5*H6</f>
        <v>9000</v>
      </c>
      <c r="I7" s="26" t="n">
        <f aca="false">I5*I6</f>
        <v>12000</v>
      </c>
      <c r="J7" s="26" t="n">
        <f aca="false">J5*J6</f>
        <v>15500</v>
      </c>
      <c r="K7" s="26" t="n">
        <f aca="false">K5*K6</f>
        <v>38000</v>
      </c>
      <c r="L7" s="26" t="n">
        <f aca="false">L5*L6</f>
        <v>44000</v>
      </c>
      <c r="M7" s="26" t="n">
        <f aca="false">M5*M6</f>
        <v>50000</v>
      </c>
      <c r="N7" s="26" t="n">
        <f aca="false">N5*N6</f>
        <v>82500</v>
      </c>
      <c r="O7" s="26" t="n">
        <f aca="false">O5*O6</f>
        <v>90000</v>
      </c>
      <c r="P7" s="26" t="n">
        <f aca="false">P5*P6</f>
        <v>97500</v>
      </c>
      <c r="Q7" s="26" t="n">
        <f aca="false">Q5*Q6</f>
        <v>140000</v>
      </c>
      <c r="R7" s="26" t="n">
        <f aca="false">R5*R6</f>
        <v>150000</v>
      </c>
      <c r="S7" s="26" t="n">
        <f aca="false">S5*S6</f>
        <v>160000</v>
      </c>
      <c r="T7" s="26" t="n">
        <f aca="false">T5*T6</f>
        <v>170000</v>
      </c>
      <c r="U7" s="26" t="n">
        <f aca="false">U5*U6</f>
        <v>180000</v>
      </c>
      <c r="V7" s="26" t="n">
        <f aca="false">V5*V6</f>
        <v>190000</v>
      </c>
      <c r="W7" s="26" t="n">
        <f aca="false">W5*W6</f>
        <v>200000</v>
      </c>
      <c r="X7" s="26" t="n">
        <f aca="false">X5*X6</f>
        <v>210000</v>
      </c>
      <c r="Y7" s="26" t="n">
        <f aca="false">Y5*Y6</f>
        <v>220000</v>
      </c>
    </row>
    <row r="9" customFormat="false" ht="15" hidden="false" customHeight="false" outlineLevel="0" collapsed="false">
      <c r="A9" s="4" t="s">
        <v>106</v>
      </c>
      <c r="B9" s="27" t="n">
        <f aca="false">B7*Assumptions!$B$12</f>
        <v>24272</v>
      </c>
      <c r="C9" s="27" t="n">
        <f aca="false">C7*Assumptions!$B$12</f>
        <v>54612</v>
      </c>
      <c r="D9" s="27" t="n">
        <f aca="false">D7*Assumptions!$B$12</f>
        <v>109224</v>
      </c>
      <c r="E9" s="27" t="n">
        <f aca="false">E7*Assumptions!$B$12</f>
        <v>182040</v>
      </c>
      <c r="F9" s="27" t="n">
        <f aca="false">F7*Assumptions!$B$12</f>
        <v>273060</v>
      </c>
      <c r="G9" s="27" t="n">
        <f aca="false">G7*Assumptions!$B$12</f>
        <v>394420</v>
      </c>
      <c r="H9" s="27" t="n">
        <f aca="false">H7*Assumptions!$B$12</f>
        <v>546120</v>
      </c>
      <c r="I9" s="27" t="n">
        <f aca="false">I7*Assumptions!$B$12</f>
        <v>728160</v>
      </c>
      <c r="J9" s="27" t="n">
        <f aca="false">J7*Assumptions!$B$12</f>
        <v>940540</v>
      </c>
      <c r="K9" s="27" t="n">
        <f aca="false">K7*Assumptions!$B$12</f>
        <v>2305840</v>
      </c>
      <c r="L9" s="27" t="n">
        <f aca="false">L7*Assumptions!$B$12</f>
        <v>2669920</v>
      </c>
      <c r="M9" s="27" t="n">
        <f aca="false">M7*Assumptions!$B$12</f>
        <v>3034000</v>
      </c>
      <c r="N9" s="27" t="n">
        <f aca="false">N7*Assumptions!$B$12</f>
        <v>5006100</v>
      </c>
      <c r="O9" s="27" t="n">
        <f aca="false">O7*Assumptions!$B$12</f>
        <v>5461200</v>
      </c>
      <c r="P9" s="27" t="n">
        <f aca="false">P7*Assumptions!$B$12</f>
        <v>5916300</v>
      </c>
      <c r="Q9" s="27" t="n">
        <f aca="false">Q7*Assumptions!$B$12</f>
        <v>8495200</v>
      </c>
      <c r="R9" s="27" t="n">
        <f aca="false">R7*Assumptions!$B$12</f>
        <v>9102000</v>
      </c>
      <c r="S9" s="27" t="n">
        <f aca="false">S7*Assumptions!$B$12</f>
        <v>9708800</v>
      </c>
      <c r="T9" s="27" t="n">
        <f aca="false">T7*Assumptions!$B$12</f>
        <v>10315600</v>
      </c>
      <c r="U9" s="27" t="n">
        <f aca="false">U7*Assumptions!$B$12</f>
        <v>10922400</v>
      </c>
      <c r="V9" s="27" t="n">
        <f aca="false">V7*Assumptions!$B$12</f>
        <v>11529200</v>
      </c>
      <c r="W9" s="27" t="n">
        <f aca="false">W7*Assumptions!$B$12</f>
        <v>12136000</v>
      </c>
      <c r="X9" s="27" t="n">
        <f aca="false">X7*Assumptions!$B$12</f>
        <v>12742800</v>
      </c>
      <c r="Y9" s="27" t="n">
        <f aca="false">Y7*Assumptions!$B$12</f>
        <v>13349600</v>
      </c>
    </row>
    <row r="10" customFormat="false" ht="15" hidden="false" customHeight="false" outlineLevel="0" collapsed="false">
      <c r="A10" s="8" t="s">
        <v>107</v>
      </c>
      <c r="B10" s="28" t="n">
        <f aca="false">B7*'Unit Economics'!$B$16</f>
        <v>7767.04</v>
      </c>
      <c r="C10" s="28" t="n">
        <f aca="false">C7*'Unit Economics'!$B$16</f>
        <v>17475.84</v>
      </c>
      <c r="D10" s="28" t="n">
        <f aca="false">D7*'Unit Economics'!$B$16</f>
        <v>34951.68</v>
      </c>
      <c r="E10" s="28" t="n">
        <f aca="false">E7*'Unit Economics'!$B$16</f>
        <v>58252.8</v>
      </c>
      <c r="F10" s="28" t="n">
        <f aca="false">F7*'Unit Economics'!$B$16</f>
        <v>87379.2</v>
      </c>
      <c r="G10" s="28" t="n">
        <f aca="false">G7*'Unit Economics'!$B$16</f>
        <v>126214.4</v>
      </c>
      <c r="H10" s="28" t="n">
        <f aca="false">H7*'Unit Economics'!$B$16</f>
        <v>174758.4</v>
      </c>
      <c r="I10" s="28" t="n">
        <f aca="false">I7*'Unit Economics'!$B$16</f>
        <v>233011.2</v>
      </c>
      <c r="J10" s="28" t="n">
        <f aca="false">J7*'Unit Economics'!$B$16</f>
        <v>300972.8</v>
      </c>
      <c r="K10" s="28" t="n">
        <f aca="false">K7*'Unit Economics'!$B$16</f>
        <v>737868.8</v>
      </c>
      <c r="L10" s="28" t="n">
        <f aca="false">L7*'Unit Economics'!$B$16</f>
        <v>854374.4</v>
      </c>
      <c r="M10" s="28" t="n">
        <f aca="false">M7*'Unit Economics'!$B$16</f>
        <v>970880</v>
      </c>
      <c r="N10" s="28" t="n">
        <f aca="false">N7*'Unit Economics'!$B$16</f>
        <v>1601952</v>
      </c>
      <c r="O10" s="28" t="n">
        <f aca="false">O7*'Unit Economics'!$B$16</f>
        <v>1747584</v>
      </c>
      <c r="P10" s="28" t="n">
        <f aca="false">P7*'Unit Economics'!$B$16</f>
        <v>1893216</v>
      </c>
      <c r="Q10" s="28" t="n">
        <f aca="false">Q7*'Unit Economics'!$B$16</f>
        <v>2718464</v>
      </c>
      <c r="R10" s="28" t="n">
        <f aca="false">R7*'Unit Economics'!$B$16</f>
        <v>2912640</v>
      </c>
      <c r="S10" s="28" t="n">
        <f aca="false">S7*'Unit Economics'!$B$16</f>
        <v>3106816</v>
      </c>
      <c r="T10" s="28" t="n">
        <f aca="false">T7*'Unit Economics'!$B$16</f>
        <v>3300992</v>
      </c>
      <c r="U10" s="28" t="n">
        <f aca="false">U7*'Unit Economics'!$B$16</f>
        <v>3495168</v>
      </c>
      <c r="V10" s="28" t="n">
        <f aca="false">V7*'Unit Economics'!$B$16</f>
        <v>3689344</v>
      </c>
      <c r="W10" s="28" t="n">
        <f aca="false">W7*'Unit Economics'!$B$16</f>
        <v>3883520</v>
      </c>
      <c r="X10" s="28" t="n">
        <f aca="false">X7*'Unit Economics'!$B$16</f>
        <v>4077696</v>
      </c>
      <c r="Y10" s="28" t="n">
        <f aca="false">Y7*'Unit Economics'!$B$16</f>
        <v>4271872</v>
      </c>
    </row>
    <row r="12" customFormat="false" ht="15" hidden="false" customHeight="false" outlineLevel="0" collapsed="false">
      <c r="A12" s="21" t="s">
        <v>108</v>
      </c>
    </row>
    <row r="13" customFormat="false" ht="15" hidden="false" customHeight="false" outlineLevel="0" collapsed="false">
      <c r="A13" s="4" t="s">
        <v>109</v>
      </c>
      <c r="B13" s="27" t="n">
        <f aca="false">B7*(Assumptions!$B$20 + Assumptions!$B$22 + Assumptions!$B$23 + Assumptions!$B$24) + B9*Assumptions!$B$21</f>
        <v>2115.888</v>
      </c>
      <c r="C13" s="27" t="n">
        <f aca="false">C7*(Assumptions!$B$20 + Assumptions!$B$22 + Assumptions!$B$23 + Assumptions!$B$24) + C9*Assumptions!$B$21</f>
        <v>4760.748</v>
      </c>
      <c r="D13" s="27" t="n">
        <f aca="false">D7*(Assumptions!$B$20 + Assumptions!$B$22 + Assumptions!$B$23 + Assumptions!$B$24) + D9*Assumptions!$B$21</f>
        <v>9521.496</v>
      </c>
      <c r="E13" s="27" t="n">
        <f aca="false">E7*(Assumptions!$B$20 + Assumptions!$B$22 + Assumptions!$B$23 + Assumptions!$B$24) + E9*Assumptions!$B$21</f>
        <v>15869.16</v>
      </c>
      <c r="F13" s="27" t="n">
        <f aca="false">F7*(Assumptions!$B$20 + Assumptions!$B$22 + Assumptions!$B$23 + Assumptions!$B$24) + F9*Assumptions!$B$21</f>
        <v>23803.74</v>
      </c>
      <c r="G13" s="27" t="n">
        <f aca="false">G7*(Assumptions!$B$20 + Assumptions!$B$22 + Assumptions!$B$23 + Assumptions!$B$24) + G9*Assumptions!$B$21</f>
        <v>34383.18</v>
      </c>
      <c r="H13" s="27" t="n">
        <f aca="false">H7*(Assumptions!$B$20 + Assumptions!$B$22 + Assumptions!$B$23 + Assumptions!$B$24) + H9*Assumptions!$B$21</f>
        <v>47607.48</v>
      </c>
      <c r="I13" s="27" t="n">
        <f aca="false">I7*(Assumptions!$B$20 + Assumptions!$B$22 + Assumptions!$B$23 + Assumptions!$B$24) + I9*Assumptions!$B$21</f>
        <v>63476.64</v>
      </c>
      <c r="J13" s="27" t="n">
        <f aca="false">J7*(Assumptions!$B$20 + Assumptions!$B$22 + Assumptions!$B$23 + Assumptions!$B$24) + J9*Assumptions!$B$21</f>
        <v>81990.66</v>
      </c>
      <c r="K13" s="27" t="n">
        <f aca="false">K7*(Assumptions!$B$20 + Assumptions!$B$22 + Assumptions!$B$23 + Assumptions!$B$24) + K9*Assumptions!$B$21</f>
        <v>201009.36</v>
      </c>
      <c r="L13" s="27" t="n">
        <f aca="false">L7*(Assumptions!$B$20 + Assumptions!$B$22 + Assumptions!$B$23 + Assumptions!$B$24) + L9*Assumptions!$B$21</f>
        <v>232747.68</v>
      </c>
      <c r="M13" s="27" t="n">
        <f aca="false">M7*(Assumptions!$B$20 + Assumptions!$B$22 + Assumptions!$B$23 + Assumptions!$B$24) + M9*Assumptions!$B$21</f>
        <v>264486</v>
      </c>
      <c r="N13" s="27" t="n">
        <f aca="false">N7*(Assumptions!$B$20 + Assumptions!$B$22 + Assumptions!$B$23 + Assumptions!$B$24) + N9*Assumptions!$B$21</f>
        <v>436401.9</v>
      </c>
      <c r="O13" s="27" t="n">
        <f aca="false">O7*(Assumptions!$B$20 + Assumptions!$B$22 + Assumptions!$B$23 + Assumptions!$B$24) + O9*Assumptions!$B$21</f>
        <v>476074.8</v>
      </c>
      <c r="P13" s="27" t="n">
        <f aca="false">P7*(Assumptions!$B$20 + Assumptions!$B$22 + Assumptions!$B$23 + Assumptions!$B$24) + P9*Assumptions!$B$21</f>
        <v>515747.7</v>
      </c>
      <c r="Q13" s="27" t="n">
        <f aca="false">Q7*(Assumptions!$B$20 + Assumptions!$B$22 + Assumptions!$B$23 + Assumptions!$B$24) + Q9*Assumptions!$B$21</f>
        <v>740560.8</v>
      </c>
      <c r="R13" s="27" t="n">
        <f aca="false">R7*(Assumptions!$B$20 + Assumptions!$B$22 + Assumptions!$B$23 + Assumptions!$B$24) + R9*Assumptions!$B$21</f>
        <v>793458</v>
      </c>
      <c r="S13" s="27" t="n">
        <f aca="false">S7*(Assumptions!$B$20 + Assumptions!$B$22 + Assumptions!$B$23 + Assumptions!$B$24) + S9*Assumptions!$B$21</f>
        <v>846355.2</v>
      </c>
      <c r="T13" s="27" t="n">
        <f aca="false">T7*(Assumptions!$B$20 + Assumptions!$B$22 + Assumptions!$B$23 + Assumptions!$B$24) + T9*Assumptions!$B$21</f>
        <v>899252.4</v>
      </c>
      <c r="U13" s="27" t="n">
        <f aca="false">U7*(Assumptions!$B$20 + Assumptions!$B$22 + Assumptions!$B$23 + Assumptions!$B$24) + U9*Assumptions!$B$21</f>
        <v>952149.6</v>
      </c>
      <c r="V13" s="27" t="n">
        <f aca="false">V7*(Assumptions!$B$20 + Assumptions!$B$22 + Assumptions!$B$23 + Assumptions!$B$24) + V9*Assumptions!$B$21</f>
        <v>1005046.8</v>
      </c>
      <c r="W13" s="27" t="n">
        <f aca="false">W7*(Assumptions!$B$20 + Assumptions!$B$22 + Assumptions!$B$23 + Assumptions!$B$24) + W9*Assumptions!$B$21</f>
        <v>1057944</v>
      </c>
      <c r="X13" s="27" t="n">
        <f aca="false">X7*(Assumptions!$B$20 + Assumptions!$B$22 + Assumptions!$B$23 + Assumptions!$B$24) + X9*Assumptions!$B$21</f>
        <v>1110841.2</v>
      </c>
      <c r="Y13" s="27" t="n">
        <f aca="false">Y7*(Assumptions!$B$20 + Assumptions!$B$22 + Assumptions!$B$23 + Assumptions!$B$24) + Y9*Assumptions!$B$21</f>
        <v>1163738.4</v>
      </c>
    </row>
    <row r="14" customFormat="false" ht="15" hidden="false" customHeight="false" outlineLevel="0" collapsed="false">
      <c r="A14" s="8" t="s">
        <v>110</v>
      </c>
      <c r="B14" s="29" t="n">
        <f aca="false">B10 - B13</f>
        <v>5651.152</v>
      </c>
      <c r="C14" s="29" t="n">
        <f aca="false">C10 - C13</f>
        <v>12715.092</v>
      </c>
      <c r="D14" s="29" t="n">
        <f aca="false">D10 - D13</f>
        <v>25430.184</v>
      </c>
      <c r="E14" s="29" t="n">
        <f aca="false">E10 - E13</f>
        <v>42383.64</v>
      </c>
      <c r="F14" s="29" t="n">
        <f aca="false">F10 - F13</f>
        <v>63575.46</v>
      </c>
      <c r="G14" s="29" t="n">
        <f aca="false">G10 - G13</f>
        <v>91831.22</v>
      </c>
      <c r="H14" s="29" t="n">
        <f aca="false">H10 - H13</f>
        <v>127150.92</v>
      </c>
      <c r="I14" s="29" t="n">
        <f aca="false">I10 - I13</f>
        <v>169534.56</v>
      </c>
      <c r="J14" s="29" t="n">
        <f aca="false">J10 - J13</f>
        <v>218982.14</v>
      </c>
      <c r="K14" s="29" t="n">
        <f aca="false">K10 - K13</f>
        <v>536859.44</v>
      </c>
      <c r="L14" s="29" t="n">
        <f aca="false">L10 - L13</f>
        <v>621626.72</v>
      </c>
      <c r="M14" s="29" t="n">
        <f aca="false">M10 - M13</f>
        <v>706394</v>
      </c>
      <c r="N14" s="29" t="n">
        <f aca="false">N10 - N13</f>
        <v>1165550.1</v>
      </c>
      <c r="O14" s="29" t="n">
        <f aca="false">O10 - O13</f>
        <v>1271509.2</v>
      </c>
      <c r="P14" s="29" t="n">
        <f aca="false">P10 - P13</f>
        <v>1377468.3</v>
      </c>
      <c r="Q14" s="29" t="n">
        <f aca="false">Q10 - Q13</f>
        <v>1977903.2</v>
      </c>
      <c r="R14" s="29" t="n">
        <f aca="false">R10 - R13</f>
        <v>2119182</v>
      </c>
      <c r="S14" s="29" t="n">
        <f aca="false">S10 - S13</f>
        <v>2260460.8</v>
      </c>
      <c r="T14" s="29" t="n">
        <f aca="false">T10 - T13</f>
        <v>2401739.6</v>
      </c>
      <c r="U14" s="29" t="n">
        <f aca="false">U10 - U13</f>
        <v>2543018.4</v>
      </c>
      <c r="V14" s="29" t="n">
        <f aca="false">V10 - V13</f>
        <v>2684297.2</v>
      </c>
      <c r="W14" s="29" t="n">
        <f aca="false">W10 - W13</f>
        <v>2825576</v>
      </c>
      <c r="X14" s="29" t="n">
        <f aca="false">X10 - X13</f>
        <v>2966854.8</v>
      </c>
      <c r="Y14" s="29" t="n">
        <f aca="false">Y10 - Y13</f>
        <v>3108133.6</v>
      </c>
    </row>
    <row r="15" customFormat="false" ht="15" hidden="false" customHeight="false" outlineLevel="0" collapsed="false">
      <c r="A15" s="4" t="s">
        <v>111</v>
      </c>
      <c r="B15" s="15" t="n">
        <f aca="false">IFERROR(B14/B10,0)</f>
        <v>0.727581163480554</v>
      </c>
      <c r="C15" s="15" t="n">
        <f aca="false">IFERROR(C14/C10,0)</f>
        <v>0.727581163480554</v>
      </c>
      <c r="D15" s="15" t="n">
        <f aca="false">IFERROR(D14/D10,0)</f>
        <v>0.727581163480554</v>
      </c>
      <c r="E15" s="15" t="n">
        <f aca="false">IFERROR(E14/E10,0)</f>
        <v>0.727581163480554</v>
      </c>
      <c r="F15" s="15" t="n">
        <f aca="false">IFERROR(F14/F10,0)</f>
        <v>0.727581163480554</v>
      </c>
      <c r="G15" s="15" t="n">
        <f aca="false">IFERROR(G14/G10,0)</f>
        <v>0.727581163480554</v>
      </c>
      <c r="H15" s="15" t="n">
        <f aca="false">IFERROR(H14/H10,0)</f>
        <v>0.727581163480554</v>
      </c>
      <c r="I15" s="15" t="n">
        <f aca="false">IFERROR(I14/I10,0)</f>
        <v>0.727581163480554</v>
      </c>
      <c r="J15" s="15" t="n">
        <f aca="false">IFERROR(J14/J10,0)</f>
        <v>0.727581163480554</v>
      </c>
      <c r="K15" s="15" t="n">
        <f aca="false">IFERROR(K14/K10,0)</f>
        <v>0.727581163480554</v>
      </c>
      <c r="L15" s="15" t="n">
        <f aca="false">IFERROR(L14/L10,0)</f>
        <v>0.727581163480554</v>
      </c>
      <c r="M15" s="15" t="n">
        <f aca="false">IFERROR(M14/M10,0)</f>
        <v>0.727581163480554</v>
      </c>
      <c r="N15" s="15" t="n">
        <f aca="false">IFERROR(N14/N10,0)</f>
        <v>0.727581163480554</v>
      </c>
      <c r="O15" s="15" t="n">
        <f aca="false">IFERROR(O14/O10,0)</f>
        <v>0.727581163480554</v>
      </c>
      <c r="P15" s="15" t="n">
        <f aca="false">IFERROR(P14/P10,0)</f>
        <v>0.727581163480554</v>
      </c>
      <c r="Q15" s="15" t="n">
        <f aca="false">IFERROR(Q14/Q10,0)</f>
        <v>0.727581163480554</v>
      </c>
      <c r="R15" s="15" t="n">
        <f aca="false">IFERROR(R14/R10,0)</f>
        <v>0.727581163480554</v>
      </c>
      <c r="S15" s="15" t="n">
        <f aca="false">IFERROR(S14/S10,0)</f>
        <v>0.727581163480554</v>
      </c>
      <c r="T15" s="15" t="n">
        <f aca="false">IFERROR(T14/T10,0)</f>
        <v>0.727581163480554</v>
      </c>
      <c r="U15" s="15" t="n">
        <f aca="false">IFERROR(U14/U10,0)</f>
        <v>0.727581163480554</v>
      </c>
      <c r="V15" s="15" t="n">
        <f aca="false">IFERROR(V14/V10,0)</f>
        <v>0.727581163480554</v>
      </c>
      <c r="W15" s="15" t="n">
        <f aca="false">IFERROR(W14/W10,0)</f>
        <v>0.727581163480554</v>
      </c>
      <c r="X15" s="15" t="n">
        <f aca="false">IFERROR(X14/X10,0)</f>
        <v>0.727581163480554</v>
      </c>
      <c r="Y15" s="15" t="n">
        <f aca="false">IFERROR(Y14/Y10,0)</f>
        <v>0.727581163480554</v>
      </c>
    </row>
    <row r="17" customFormat="false" ht="15" hidden="false" customHeight="false" outlineLevel="0" collapsed="false">
      <c r="A17" s="21" t="s">
        <v>112</v>
      </c>
    </row>
    <row r="18" customFormat="false" ht="15" hidden="false" customHeight="false" outlineLevel="0" collapsed="false">
      <c r="A18" s="4" t="s">
        <v>113</v>
      </c>
      <c r="B18" s="30" t="n">
        <v>40000</v>
      </c>
      <c r="C18" s="30" t="n">
        <v>45000</v>
      </c>
      <c r="D18" s="30" t="n">
        <v>55000</v>
      </c>
      <c r="E18" s="30" t="n">
        <v>75000</v>
      </c>
      <c r="F18" s="30" t="n">
        <v>95000</v>
      </c>
      <c r="G18" s="30" t="n">
        <v>115000</v>
      </c>
      <c r="H18" s="30" t="n">
        <v>135000</v>
      </c>
      <c r="I18" s="30" t="n">
        <v>155000</v>
      </c>
      <c r="J18" s="30" t="n">
        <v>175000</v>
      </c>
      <c r="K18" s="30" t="n">
        <v>210000</v>
      </c>
      <c r="L18" s="30" t="n">
        <v>240000</v>
      </c>
      <c r="M18" s="30" t="n">
        <v>270000</v>
      </c>
      <c r="N18" s="30" t="n">
        <v>305000</v>
      </c>
      <c r="O18" s="30" t="n">
        <v>330000</v>
      </c>
      <c r="P18" s="30" t="n">
        <v>350000</v>
      </c>
      <c r="Q18" s="30" t="n">
        <v>375000</v>
      </c>
      <c r="R18" s="30" t="n">
        <v>395000</v>
      </c>
      <c r="S18" s="30" t="n">
        <v>410000</v>
      </c>
      <c r="T18" s="30" t="n">
        <v>425000</v>
      </c>
      <c r="U18" s="30" t="n">
        <v>440000</v>
      </c>
      <c r="V18" s="30" t="n">
        <v>455000</v>
      </c>
      <c r="W18" s="30" t="n">
        <v>470000</v>
      </c>
      <c r="X18" s="30" t="n">
        <v>485000</v>
      </c>
      <c r="Y18" s="30" t="n">
        <v>500000</v>
      </c>
    </row>
    <row r="19" customFormat="false" ht="15" hidden="false" customHeight="false" outlineLevel="0" collapsed="false">
      <c r="A19" s="4" t="s">
        <v>114</v>
      </c>
      <c r="B19" s="30" t="n">
        <v>8000</v>
      </c>
      <c r="C19" s="30" t="n">
        <v>8000</v>
      </c>
      <c r="D19" s="30" t="n">
        <v>8000</v>
      </c>
      <c r="E19" s="30" t="n">
        <v>8000</v>
      </c>
      <c r="F19" s="30" t="n">
        <v>8000</v>
      </c>
      <c r="G19" s="30" t="n">
        <v>8000</v>
      </c>
      <c r="H19" s="30" t="n">
        <v>14000</v>
      </c>
      <c r="I19" s="30" t="n">
        <v>14000</v>
      </c>
      <c r="J19" s="30" t="n">
        <v>14000</v>
      </c>
      <c r="K19" s="30" t="n">
        <v>14000</v>
      </c>
      <c r="L19" s="30" t="n">
        <v>14000</v>
      </c>
      <c r="M19" s="30" t="n">
        <v>14000</v>
      </c>
      <c r="N19" s="30" t="n">
        <v>22000</v>
      </c>
      <c r="O19" s="30" t="n">
        <v>22000</v>
      </c>
      <c r="P19" s="30" t="n">
        <v>22000</v>
      </c>
      <c r="Q19" s="30" t="n">
        <v>22000</v>
      </c>
      <c r="R19" s="30" t="n">
        <v>22000</v>
      </c>
      <c r="S19" s="30" t="n">
        <v>22000</v>
      </c>
      <c r="T19" s="30" t="n">
        <v>30000</v>
      </c>
      <c r="U19" s="30" t="n">
        <v>30000</v>
      </c>
      <c r="V19" s="30" t="n">
        <v>30000</v>
      </c>
      <c r="W19" s="30" t="n">
        <v>30000</v>
      </c>
      <c r="X19" s="30" t="n">
        <v>30000</v>
      </c>
      <c r="Y19" s="30" t="n">
        <v>30000</v>
      </c>
    </row>
    <row r="20" customFormat="false" ht="15" hidden="false" customHeight="false" outlineLevel="0" collapsed="false">
      <c r="A20" s="4" t="s">
        <v>115</v>
      </c>
      <c r="B20" s="30" t="n">
        <v>60000</v>
      </c>
      <c r="C20" s="30" t="n">
        <v>25000</v>
      </c>
      <c r="D20" s="30" t="n">
        <v>25000</v>
      </c>
      <c r="E20" s="30" t="n">
        <v>25000</v>
      </c>
      <c r="F20" s="30" t="n">
        <v>25000</v>
      </c>
      <c r="G20" s="30" t="n">
        <v>25000</v>
      </c>
      <c r="H20" s="30" t="n">
        <v>35000</v>
      </c>
      <c r="I20" s="30" t="n">
        <v>35000</v>
      </c>
      <c r="J20" s="30" t="n">
        <v>35000</v>
      </c>
      <c r="K20" s="30" t="n">
        <v>60000</v>
      </c>
      <c r="L20" s="30" t="n">
        <v>35000</v>
      </c>
      <c r="M20" s="30" t="n">
        <v>35000</v>
      </c>
      <c r="N20" s="30" t="n">
        <v>60000</v>
      </c>
      <c r="O20" s="30" t="n">
        <v>50000</v>
      </c>
      <c r="P20" s="30" t="n">
        <v>50000</v>
      </c>
      <c r="Q20" s="30" t="n">
        <v>60000</v>
      </c>
      <c r="R20" s="30" t="n">
        <v>50000</v>
      </c>
      <c r="S20" s="30" t="n">
        <v>50000</v>
      </c>
      <c r="T20" s="30" t="n">
        <v>50000</v>
      </c>
      <c r="U20" s="30" t="n">
        <v>50000</v>
      </c>
      <c r="V20" s="30" t="n">
        <v>50000</v>
      </c>
      <c r="W20" s="30" t="n">
        <v>50000</v>
      </c>
      <c r="X20" s="30" t="n">
        <v>50000</v>
      </c>
      <c r="Y20" s="30" t="n">
        <v>50000</v>
      </c>
    </row>
    <row r="21" customFormat="false" ht="15" hidden="false" customHeight="false" outlineLevel="0" collapsed="false">
      <c r="A21" s="4" t="s">
        <v>116</v>
      </c>
      <c r="B21" s="30" t="n">
        <v>25000</v>
      </c>
      <c r="C21" s="30" t="n">
        <v>6000</v>
      </c>
      <c r="D21" s="30" t="n">
        <v>6000</v>
      </c>
      <c r="E21" s="30" t="n">
        <v>6000</v>
      </c>
      <c r="F21" s="30" t="n">
        <v>6000</v>
      </c>
      <c r="G21" s="30" t="n">
        <v>6000</v>
      </c>
      <c r="H21" s="30" t="n">
        <v>10000</v>
      </c>
      <c r="I21" s="30" t="n">
        <v>10000</v>
      </c>
      <c r="J21" s="30" t="n">
        <v>10000</v>
      </c>
      <c r="K21" s="30" t="n">
        <v>25000</v>
      </c>
      <c r="L21" s="30" t="n">
        <v>10000</v>
      </c>
      <c r="M21" s="30" t="n">
        <v>10000</v>
      </c>
      <c r="N21" s="30" t="n">
        <v>25000</v>
      </c>
      <c r="O21" s="30" t="n">
        <v>14000</v>
      </c>
      <c r="P21" s="30" t="n">
        <v>14000</v>
      </c>
      <c r="Q21" s="30" t="n">
        <v>25000</v>
      </c>
      <c r="R21" s="30" t="n">
        <v>14000</v>
      </c>
      <c r="S21" s="30" t="n">
        <v>14000</v>
      </c>
      <c r="T21" s="30" t="n">
        <v>14000</v>
      </c>
      <c r="U21" s="30" t="n">
        <v>14000</v>
      </c>
      <c r="V21" s="30" t="n">
        <v>14000</v>
      </c>
      <c r="W21" s="30" t="n">
        <v>14000</v>
      </c>
      <c r="X21" s="30" t="n">
        <v>14000</v>
      </c>
      <c r="Y21" s="30" t="n">
        <v>14000</v>
      </c>
    </row>
    <row r="22" customFormat="false" ht="15" hidden="false" customHeight="false" outlineLevel="0" collapsed="false">
      <c r="A22" s="4" t="s">
        <v>117</v>
      </c>
      <c r="B22" s="30" t="n">
        <v>8000</v>
      </c>
      <c r="C22" s="30" t="n">
        <v>8000</v>
      </c>
      <c r="D22" s="30" t="n">
        <v>8000</v>
      </c>
      <c r="E22" s="30" t="n">
        <v>8000</v>
      </c>
      <c r="F22" s="30" t="n">
        <v>8000</v>
      </c>
      <c r="G22" s="30" t="n">
        <v>8000</v>
      </c>
      <c r="H22" s="30" t="n">
        <v>18000</v>
      </c>
      <c r="I22" s="30" t="n">
        <v>18000</v>
      </c>
      <c r="J22" s="30" t="n">
        <v>18000</v>
      </c>
      <c r="K22" s="30" t="n">
        <v>18000</v>
      </c>
      <c r="L22" s="30" t="n">
        <v>18000</v>
      </c>
      <c r="M22" s="30" t="n">
        <v>18000</v>
      </c>
      <c r="N22" s="30" t="n">
        <v>30000</v>
      </c>
      <c r="O22" s="30" t="n">
        <v>30000</v>
      </c>
      <c r="P22" s="30" t="n">
        <v>30000</v>
      </c>
      <c r="Q22" s="30" t="n">
        <v>30000</v>
      </c>
      <c r="R22" s="30" t="n">
        <v>30000</v>
      </c>
      <c r="S22" s="30" t="n">
        <v>30000</v>
      </c>
      <c r="T22" s="30" t="n">
        <v>45000</v>
      </c>
      <c r="U22" s="30" t="n">
        <v>45000</v>
      </c>
      <c r="V22" s="30" t="n">
        <v>45000</v>
      </c>
      <c r="W22" s="30" t="n">
        <v>45000</v>
      </c>
      <c r="X22" s="30" t="n">
        <v>45000</v>
      </c>
      <c r="Y22" s="30" t="n">
        <v>45000</v>
      </c>
    </row>
    <row r="24" customFormat="false" ht="15" hidden="false" customHeight="false" outlineLevel="0" collapsed="false">
      <c r="A24" s="8" t="s">
        <v>118</v>
      </c>
      <c r="B24" s="31" t="n">
        <f aca="false">SUM(B18:B22)</f>
        <v>141000</v>
      </c>
      <c r="C24" s="31" t="n">
        <f aca="false">SUM(C18:C22)</f>
        <v>92000</v>
      </c>
      <c r="D24" s="31" t="n">
        <f aca="false">SUM(D18:D22)</f>
        <v>102000</v>
      </c>
      <c r="E24" s="31" t="n">
        <f aca="false">SUM(E18:E22)</f>
        <v>122000</v>
      </c>
      <c r="F24" s="31" t="n">
        <f aca="false">SUM(F18:F22)</f>
        <v>142000</v>
      </c>
      <c r="G24" s="31" t="n">
        <f aca="false">SUM(G18:G22)</f>
        <v>162000</v>
      </c>
      <c r="H24" s="31" t="n">
        <f aca="false">SUM(H18:H22)</f>
        <v>212000</v>
      </c>
      <c r="I24" s="31" t="n">
        <f aca="false">SUM(I18:I22)</f>
        <v>232000</v>
      </c>
      <c r="J24" s="31" t="n">
        <f aca="false">SUM(J18:J22)</f>
        <v>252000</v>
      </c>
      <c r="K24" s="31" t="n">
        <f aca="false">SUM(K18:K22)</f>
        <v>327000</v>
      </c>
      <c r="L24" s="31" t="n">
        <f aca="false">SUM(L18:L22)</f>
        <v>317000</v>
      </c>
      <c r="M24" s="31" t="n">
        <f aca="false">SUM(M18:M22)</f>
        <v>347000</v>
      </c>
      <c r="N24" s="31" t="n">
        <f aca="false">SUM(N18:N22)</f>
        <v>442000</v>
      </c>
      <c r="O24" s="31" t="n">
        <f aca="false">SUM(O18:O22)</f>
        <v>446000</v>
      </c>
      <c r="P24" s="31" t="n">
        <f aca="false">SUM(P18:P22)</f>
        <v>466000</v>
      </c>
      <c r="Q24" s="31" t="n">
        <f aca="false">SUM(Q18:Q22)</f>
        <v>512000</v>
      </c>
      <c r="R24" s="31" t="n">
        <f aca="false">SUM(R18:R22)</f>
        <v>511000</v>
      </c>
      <c r="S24" s="31" t="n">
        <f aca="false">SUM(S18:S22)</f>
        <v>526000</v>
      </c>
      <c r="T24" s="31" t="n">
        <f aca="false">SUM(T18:T22)</f>
        <v>564000</v>
      </c>
      <c r="U24" s="31" t="n">
        <f aca="false">SUM(U18:U22)</f>
        <v>579000</v>
      </c>
      <c r="V24" s="31" t="n">
        <f aca="false">SUM(V18:V22)</f>
        <v>594000</v>
      </c>
      <c r="W24" s="31" t="n">
        <f aca="false">SUM(W18:W22)</f>
        <v>609000</v>
      </c>
      <c r="X24" s="31" t="n">
        <f aca="false">SUM(X18:X22)</f>
        <v>624000</v>
      </c>
      <c r="Y24" s="31" t="n">
        <f aca="false">SUM(Y18:Y22)</f>
        <v>639000</v>
      </c>
    </row>
    <row r="26" customFormat="false" ht="15" hidden="false" customHeight="false" outlineLevel="0" collapsed="false">
      <c r="A26" s="32" t="s">
        <v>119</v>
      </c>
      <c r="B26" s="33" t="n">
        <f aca="false">B14 - B24</f>
        <v>-135348.848</v>
      </c>
      <c r="C26" s="33" t="n">
        <f aca="false">C14 - C24</f>
        <v>-79284.908</v>
      </c>
      <c r="D26" s="33" t="n">
        <f aca="false">D14 - D24</f>
        <v>-76569.816</v>
      </c>
      <c r="E26" s="33" t="n">
        <f aca="false">E14 - E24</f>
        <v>-79616.36</v>
      </c>
      <c r="F26" s="33" t="n">
        <f aca="false">F14 - F24</f>
        <v>-78424.54</v>
      </c>
      <c r="G26" s="33" t="n">
        <f aca="false">G14 - G24</f>
        <v>-70168.78</v>
      </c>
      <c r="H26" s="33" t="n">
        <f aca="false">H14 - H24</f>
        <v>-84849.08</v>
      </c>
      <c r="I26" s="33" t="n">
        <f aca="false">I14 - I24</f>
        <v>-62465.44</v>
      </c>
      <c r="J26" s="33" t="n">
        <f aca="false">J14 - J24</f>
        <v>-33017.86</v>
      </c>
      <c r="K26" s="33" t="n">
        <f aca="false">K14 - K24</f>
        <v>209859.44</v>
      </c>
      <c r="L26" s="33" t="n">
        <f aca="false">L14 - L24</f>
        <v>304626.72</v>
      </c>
      <c r="M26" s="33" t="n">
        <f aca="false">M14 - M24</f>
        <v>359394</v>
      </c>
      <c r="N26" s="33" t="n">
        <f aca="false">N14 - N24</f>
        <v>723550.1</v>
      </c>
      <c r="O26" s="33" t="n">
        <f aca="false">O14 - O24</f>
        <v>825509.2</v>
      </c>
      <c r="P26" s="33" t="n">
        <f aca="false">P14 - P24</f>
        <v>911468.3</v>
      </c>
      <c r="Q26" s="33" t="n">
        <f aca="false">Q14 - Q24</f>
        <v>1465903.2</v>
      </c>
      <c r="R26" s="33" t="n">
        <f aca="false">R14 - R24</f>
        <v>1608182</v>
      </c>
      <c r="S26" s="33" t="n">
        <f aca="false">S14 - S24</f>
        <v>1734460.8</v>
      </c>
      <c r="T26" s="33" t="n">
        <f aca="false">T14 - T24</f>
        <v>1837739.6</v>
      </c>
      <c r="U26" s="33" t="n">
        <f aca="false">U14 - U24</f>
        <v>1964018.4</v>
      </c>
      <c r="V26" s="33" t="n">
        <f aca="false">V14 - V24</f>
        <v>2090297.2</v>
      </c>
      <c r="W26" s="33" t="n">
        <f aca="false">W14 - W24</f>
        <v>2216576</v>
      </c>
      <c r="X26" s="33" t="n">
        <f aca="false">X14 - X24</f>
        <v>2342854.8</v>
      </c>
      <c r="Y26" s="33" t="n">
        <f aca="false">Y14 - Y24</f>
        <v>2469133.6</v>
      </c>
    </row>
    <row r="28" customFormat="false" ht="15" hidden="false" customHeight="false" outlineLevel="0" collapsed="false">
      <c r="A28" s="4" t="s">
        <v>120</v>
      </c>
      <c r="B28" s="30" t="n">
        <v>5000000</v>
      </c>
      <c r="C28" s="34" t="n">
        <f aca="false">B29</f>
        <v>4864651.152</v>
      </c>
      <c r="D28" s="34" t="n">
        <f aca="false">C29</f>
        <v>4785366.244</v>
      </c>
      <c r="E28" s="34" t="n">
        <f aca="false">D29</f>
        <v>4708796.428</v>
      </c>
      <c r="F28" s="34" t="n">
        <f aca="false">E29</f>
        <v>4629180.068</v>
      </c>
      <c r="G28" s="34" t="n">
        <f aca="false">F29</f>
        <v>4550755.528</v>
      </c>
      <c r="H28" s="34" t="n">
        <f aca="false">G29</f>
        <v>4480586.748</v>
      </c>
      <c r="I28" s="34" t="n">
        <f aca="false">H29</f>
        <v>4395737.668</v>
      </c>
      <c r="J28" s="34" t="n">
        <f aca="false">I29</f>
        <v>4333272.228</v>
      </c>
      <c r="K28" s="34" t="n">
        <f aca="false">J29</f>
        <v>4300254.368</v>
      </c>
      <c r="L28" s="34" t="n">
        <f aca="false">K29</f>
        <v>4510113.808</v>
      </c>
      <c r="M28" s="34" t="n">
        <f aca="false">L29</f>
        <v>4814740.528</v>
      </c>
      <c r="N28" s="34" t="n">
        <f aca="false">M29</f>
        <v>5174134.528</v>
      </c>
      <c r="O28" s="34" t="n">
        <f aca="false">N29</f>
        <v>5897684.628</v>
      </c>
      <c r="P28" s="34" t="n">
        <f aca="false">O29</f>
        <v>6723193.828</v>
      </c>
      <c r="Q28" s="34" t="n">
        <f aca="false">P29</f>
        <v>7634662.128</v>
      </c>
      <c r="R28" s="34" t="n">
        <f aca="false">Q29</f>
        <v>9100565.328</v>
      </c>
      <c r="S28" s="34" t="n">
        <f aca="false">R29</f>
        <v>10708747.328</v>
      </c>
      <c r="T28" s="34" t="n">
        <f aca="false">S29</f>
        <v>12443208.128</v>
      </c>
      <c r="U28" s="34" t="n">
        <f aca="false">T29</f>
        <v>14280947.728</v>
      </c>
      <c r="V28" s="34" t="n">
        <f aca="false">U29</f>
        <v>16244966.128</v>
      </c>
      <c r="W28" s="34" t="n">
        <f aca="false">V29</f>
        <v>18335263.328</v>
      </c>
      <c r="X28" s="34" t="n">
        <f aca="false">W29</f>
        <v>20551839.328</v>
      </c>
      <c r="Y28" s="34" t="n">
        <f aca="false">X29</f>
        <v>22894694.128</v>
      </c>
    </row>
    <row r="29" customFormat="false" ht="15" hidden="false" customHeight="false" outlineLevel="0" collapsed="false">
      <c r="A29" s="8" t="s">
        <v>121</v>
      </c>
      <c r="B29" s="29" t="n">
        <f aca="false">B28 + B26</f>
        <v>4864651.152</v>
      </c>
      <c r="C29" s="29" t="n">
        <f aca="false">C28 + C26</f>
        <v>4785366.244</v>
      </c>
      <c r="D29" s="29" t="n">
        <f aca="false">D28 + D26</f>
        <v>4708796.428</v>
      </c>
      <c r="E29" s="29" t="n">
        <f aca="false">E28 + E26</f>
        <v>4629180.068</v>
      </c>
      <c r="F29" s="29" t="n">
        <f aca="false">F28 + F26</f>
        <v>4550755.528</v>
      </c>
      <c r="G29" s="29" t="n">
        <f aca="false">G28 + G26</f>
        <v>4480586.748</v>
      </c>
      <c r="H29" s="29" t="n">
        <f aca="false">H28 + H26</f>
        <v>4395737.668</v>
      </c>
      <c r="I29" s="29" t="n">
        <f aca="false">I28 + I26</f>
        <v>4333272.228</v>
      </c>
      <c r="J29" s="29" t="n">
        <f aca="false">J28 + J26</f>
        <v>4300254.368</v>
      </c>
      <c r="K29" s="29" t="n">
        <f aca="false">K28 + K26</f>
        <v>4510113.808</v>
      </c>
      <c r="L29" s="29" t="n">
        <f aca="false">L28 + L26</f>
        <v>4814740.528</v>
      </c>
      <c r="M29" s="29" t="n">
        <f aca="false">M28 + M26</f>
        <v>5174134.528</v>
      </c>
      <c r="N29" s="29" t="n">
        <f aca="false">N28 + N26</f>
        <v>5897684.628</v>
      </c>
      <c r="O29" s="29" t="n">
        <f aca="false">O28 + O26</f>
        <v>6723193.828</v>
      </c>
      <c r="P29" s="29" t="n">
        <f aca="false">P28 + P26</f>
        <v>7634662.128</v>
      </c>
      <c r="Q29" s="29" t="n">
        <f aca="false">Q28 + Q26</f>
        <v>9100565.328</v>
      </c>
      <c r="R29" s="29" t="n">
        <f aca="false">R28 + R26</f>
        <v>10708747.328</v>
      </c>
      <c r="S29" s="29" t="n">
        <f aca="false">S28 + S26</f>
        <v>12443208.128</v>
      </c>
      <c r="T29" s="29" t="n">
        <f aca="false">T28 + T26</f>
        <v>14280947.728</v>
      </c>
      <c r="U29" s="29" t="n">
        <f aca="false">U28 + U26</f>
        <v>16244966.128</v>
      </c>
      <c r="V29" s="29" t="n">
        <f aca="false">V28 + V26</f>
        <v>18335263.328</v>
      </c>
      <c r="W29" s="29" t="n">
        <f aca="false">W28 + W26</f>
        <v>20551839.328</v>
      </c>
      <c r="X29" s="29" t="n">
        <f aca="false">X28 + X26</f>
        <v>22894694.128</v>
      </c>
      <c r="Y29" s="29" t="n">
        <f aca="false">Y28 + Y26</f>
        <v>25363827.728</v>
      </c>
    </row>
    <row r="31" customFormat="false" ht="15" hidden="false" customHeight="false" outlineLevel="0" collapsed="false">
      <c r="A31" s="4" t="s">
        <v>122</v>
      </c>
      <c r="B31" s="11" t="n">
        <f aca="false">B7</f>
        <v>400</v>
      </c>
      <c r="C31" s="11" t="n">
        <f aca="false">B31 + C7</f>
        <v>1300</v>
      </c>
      <c r="D31" s="11" t="n">
        <f aca="false">C31 + D7</f>
        <v>3100</v>
      </c>
      <c r="E31" s="11" t="n">
        <f aca="false">D31 + E7</f>
        <v>6100</v>
      </c>
      <c r="F31" s="11" t="n">
        <f aca="false">E31 + F7</f>
        <v>10600</v>
      </c>
      <c r="G31" s="11" t="n">
        <f aca="false">F31 + G7</f>
        <v>17100</v>
      </c>
      <c r="H31" s="11" t="n">
        <f aca="false">G31 + H7</f>
        <v>26100</v>
      </c>
      <c r="I31" s="11" t="n">
        <f aca="false">H31 + I7</f>
        <v>38100</v>
      </c>
      <c r="J31" s="11" t="n">
        <f aca="false">I31 + J7</f>
        <v>53600</v>
      </c>
      <c r="K31" s="11" t="n">
        <f aca="false">J31 + K7</f>
        <v>91600</v>
      </c>
      <c r="L31" s="11" t="n">
        <f aca="false">K31 + L7</f>
        <v>135600</v>
      </c>
      <c r="M31" s="11" t="n">
        <f aca="false">L31 + M7</f>
        <v>185600</v>
      </c>
      <c r="N31" s="11" t="n">
        <f aca="false">M31 + N7</f>
        <v>268100</v>
      </c>
      <c r="O31" s="11" t="n">
        <f aca="false">N31 + O7</f>
        <v>358100</v>
      </c>
      <c r="P31" s="11" t="n">
        <f aca="false">O31 + P7</f>
        <v>455600</v>
      </c>
      <c r="Q31" s="11" t="n">
        <f aca="false">P31 + Q7</f>
        <v>595600</v>
      </c>
      <c r="R31" s="11" t="n">
        <f aca="false">Q31 + R7</f>
        <v>745600</v>
      </c>
      <c r="S31" s="11" t="n">
        <f aca="false">R31 + S7</f>
        <v>905600</v>
      </c>
      <c r="T31" s="11" t="n">
        <f aca="false">S31 + T7</f>
        <v>1075600</v>
      </c>
      <c r="U31" s="11" t="n">
        <f aca="false">T31 + U7</f>
        <v>1255600</v>
      </c>
      <c r="V31" s="11" t="n">
        <f aca="false">U31 + V7</f>
        <v>1445600</v>
      </c>
      <c r="W31" s="11" t="n">
        <f aca="false">V31 + W7</f>
        <v>1645600</v>
      </c>
      <c r="X31" s="11" t="n">
        <f aca="false">W31 + X7</f>
        <v>1855600</v>
      </c>
      <c r="Y31" s="11" t="n">
        <f aca="false">X31 + Y7</f>
        <v>2075600</v>
      </c>
    </row>
    <row r="32" customFormat="false" ht="15" hidden="false" customHeight="false" outlineLevel="0" collapsed="false">
      <c r="A32" s="4" t="s">
        <v>123</v>
      </c>
      <c r="B32" s="34" t="n">
        <f aca="false">B9</f>
        <v>24272</v>
      </c>
      <c r="C32" s="34" t="n">
        <f aca="false">B32 + C9</f>
        <v>78884</v>
      </c>
      <c r="D32" s="34" t="n">
        <f aca="false">C32 + D9</f>
        <v>188108</v>
      </c>
      <c r="E32" s="34" t="n">
        <f aca="false">D32 + E9</f>
        <v>370148</v>
      </c>
      <c r="F32" s="34" t="n">
        <f aca="false">E32 + F9</f>
        <v>643208</v>
      </c>
      <c r="G32" s="34" t="n">
        <f aca="false">F32 + G9</f>
        <v>1037628</v>
      </c>
      <c r="H32" s="34" t="n">
        <f aca="false">G32 + H9</f>
        <v>1583748</v>
      </c>
      <c r="I32" s="34" t="n">
        <f aca="false">H32 + I9</f>
        <v>2311908</v>
      </c>
      <c r="J32" s="34" t="n">
        <f aca="false">I32 + J9</f>
        <v>3252448</v>
      </c>
      <c r="K32" s="34" t="n">
        <f aca="false">J32 + K9</f>
        <v>5558288</v>
      </c>
      <c r="L32" s="34" t="n">
        <f aca="false">K32 + L9</f>
        <v>8228208</v>
      </c>
      <c r="M32" s="34" t="n">
        <f aca="false">L32 + M9</f>
        <v>11262208</v>
      </c>
      <c r="N32" s="34" t="n">
        <f aca="false">M32 + N9</f>
        <v>16268308</v>
      </c>
      <c r="O32" s="34" t="n">
        <f aca="false">N32 + O9</f>
        <v>21729508</v>
      </c>
      <c r="P32" s="34" t="n">
        <f aca="false">O32 + P9</f>
        <v>27645808</v>
      </c>
      <c r="Q32" s="34" t="n">
        <f aca="false">P32 + Q9</f>
        <v>36141008</v>
      </c>
      <c r="R32" s="34" t="n">
        <f aca="false">Q32 + R9</f>
        <v>45243008</v>
      </c>
      <c r="S32" s="34" t="n">
        <f aca="false">R32 + S9</f>
        <v>54951808</v>
      </c>
      <c r="T32" s="34" t="n">
        <f aca="false">S32 + T9</f>
        <v>65267408</v>
      </c>
      <c r="U32" s="34" t="n">
        <f aca="false">T32 + U9</f>
        <v>76189808</v>
      </c>
      <c r="V32" s="34" t="n">
        <f aca="false">U32 + V9</f>
        <v>87719008</v>
      </c>
      <c r="W32" s="34" t="n">
        <f aca="false">V32 + W9</f>
        <v>99855008</v>
      </c>
      <c r="X32" s="34" t="n">
        <f aca="false">W32 + X9</f>
        <v>112597808</v>
      </c>
      <c r="Y32" s="34" t="n">
        <f aca="false">X32 + Y9</f>
        <v>125947408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</cols>
  <sheetData>
    <row r="1" customFormat="false" ht="19.7" hidden="false" customHeight="false" outlineLevel="0" collapsed="false">
      <c r="A1" s="12" t="s">
        <v>124</v>
      </c>
    </row>
    <row r="2" customFormat="false" ht="15" hidden="false" customHeight="false" outlineLevel="0" collapsed="false">
      <c r="A2" s="2" t="s">
        <v>125</v>
      </c>
    </row>
    <row r="5" customFormat="false" ht="15" hidden="false" customHeight="false" outlineLevel="0" collapsed="false">
      <c r="B5" s="35" t="s">
        <v>126</v>
      </c>
      <c r="C5" s="35"/>
      <c r="D5" s="35"/>
      <c r="E5" s="35"/>
      <c r="F5" s="35"/>
    </row>
    <row r="6" customFormat="false" ht="15" hidden="false" customHeight="false" outlineLevel="0" collapsed="false">
      <c r="A6" s="36" t="s">
        <v>127</v>
      </c>
      <c r="B6" s="37" t="n">
        <v>40000</v>
      </c>
      <c r="C6" s="37" t="n">
        <v>50000</v>
      </c>
      <c r="D6" s="37" t="n">
        <v>55000</v>
      </c>
      <c r="E6" s="37" t="n">
        <v>65000</v>
      </c>
      <c r="F6" s="37" t="n">
        <v>80000</v>
      </c>
    </row>
    <row r="7" customFormat="false" ht="15" hidden="false" customHeight="false" outlineLevel="0" collapsed="false">
      <c r="A7" s="38" t="n">
        <v>0.6</v>
      </c>
      <c r="B7" s="39" t="n">
        <f aca="false">(4*40000*12*(Assumptions!$B$12*(1 - 0.6) - Assumptions!$B$20 - Assumptions!$B$22 - Assumptions!$B$23 - Assumptions!$B$24 - Assumptions!$B$12*Assumptions!$B$21))/1000000-(500000+30000+50000+14000+45000)*12/1000000</f>
        <v>28.7779776</v>
      </c>
      <c r="C7" s="39" t="n">
        <f aca="false">(4*50000*12*(Assumptions!$B$12*(1 - 0.6) - Assumptions!$B$20 - Assumptions!$B$22 - Assumptions!$B$23 - Assumptions!$B$24 - Assumptions!$B$12*Assumptions!$B$21))/1000000-(500000+30000+50000+14000+45000)*12/1000000</f>
        <v>37.889472</v>
      </c>
      <c r="D7" s="39" t="n">
        <f aca="false">(4*55000*12*(Assumptions!$B$12*(1 - 0.6) - Assumptions!$B$20 - Assumptions!$B$22 - Assumptions!$B$23 - Assumptions!$B$24 - Assumptions!$B$12*Assumptions!$B$21))/1000000-(500000+30000+50000+14000+45000)*12/1000000</f>
        <v>42.4452192</v>
      </c>
      <c r="E7" s="39" t="n">
        <f aca="false">(4*65000*12*(Assumptions!$B$12*(1 - 0.6) - Assumptions!$B$20 - Assumptions!$B$22 - Assumptions!$B$23 - Assumptions!$B$24 - Assumptions!$B$12*Assumptions!$B$21))/1000000-(500000+30000+50000+14000+45000)*12/1000000</f>
        <v>51.5567136</v>
      </c>
      <c r="F7" s="39" t="n">
        <f aca="false">(4*80000*12*(Assumptions!$B$12*(1 - 0.6) - Assumptions!$B$20 - Assumptions!$B$22 - Assumptions!$B$23 - Assumptions!$B$24 - Assumptions!$B$12*Assumptions!$B$21))/1000000-(500000+30000+50000+14000+45000)*12/1000000</f>
        <v>65.2239552</v>
      </c>
    </row>
    <row r="8" customFormat="false" ht="15" hidden="false" customHeight="false" outlineLevel="0" collapsed="false">
      <c r="A8" s="38" t="n">
        <v>0.64</v>
      </c>
      <c r="B8" s="39" t="n">
        <f aca="false">(4*40000*12*(Assumptions!$B$12*(1 - 0.64) - Assumptions!$B$20 - Assumptions!$B$22 - Assumptions!$B$23 - Assumptions!$B$24 - Assumptions!$B$12*Assumptions!$B$21))/1000000-(500000+30000+50000+14000+45000)*12/1000000</f>
        <v>24.1177536</v>
      </c>
      <c r="C8" s="39" t="n">
        <f aca="false">(4*50000*12*(Assumptions!$B$12*(1 - 0.64) - Assumptions!$B$20 - Assumptions!$B$22 - Assumptions!$B$23 - Assumptions!$B$24 - Assumptions!$B$12*Assumptions!$B$21))/1000000-(500000+30000+50000+14000+45000)*12/1000000</f>
        <v>32.064192</v>
      </c>
      <c r="D8" s="39" t="n">
        <f aca="false">(4*55000*12*(Assumptions!$B$12*(1 - 0.64) - Assumptions!$B$20 - Assumptions!$B$22 - Assumptions!$B$23 - Assumptions!$B$24 - Assumptions!$B$12*Assumptions!$B$21))/1000000-(500000+30000+50000+14000+45000)*12/1000000</f>
        <v>36.0374112</v>
      </c>
      <c r="E8" s="39" t="n">
        <f aca="false">(4*65000*12*(Assumptions!$B$12*(1 - 0.64) - Assumptions!$B$20 - Assumptions!$B$22 - Assumptions!$B$23 - Assumptions!$B$24 - Assumptions!$B$12*Assumptions!$B$21))/1000000-(500000+30000+50000+14000+45000)*12/1000000</f>
        <v>43.9838496</v>
      </c>
      <c r="F8" s="39" t="n">
        <f aca="false">(4*80000*12*(Assumptions!$B$12*(1 - 0.64) - Assumptions!$B$20 - Assumptions!$B$22 - Assumptions!$B$23 - Assumptions!$B$24 - Assumptions!$B$12*Assumptions!$B$21))/1000000-(500000+30000+50000+14000+45000)*12/1000000</f>
        <v>55.9035072</v>
      </c>
    </row>
    <row r="9" customFormat="false" ht="15" hidden="false" customHeight="false" outlineLevel="0" collapsed="false">
      <c r="A9" s="38" t="n">
        <v>0.68</v>
      </c>
      <c r="B9" s="39" t="n">
        <f aca="false">(4*40000*12*(Assumptions!$B$12*(1 - 0.68) - Assumptions!$B$20 - Assumptions!$B$22 - Assumptions!$B$23 - Assumptions!$B$24 - Assumptions!$B$12*Assumptions!$B$21))/1000000-(500000+30000+50000+14000+45000)*12/1000000</f>
        <v>19.4575296</v>
      </c>
      <c r="C9" s="39" t="n">
        <f aca="false">(4*50000*12*(Assumptions!$B$12*(1 - 0.68) - Assumptions!$B$20 - Assumptions!$B$22 - Assumptions!$B$23 - Assumptions!$B$24 - Assumptions!$B$12*Assumptions!$B$21))/1000000-(500000+30000+50000+14000+45000)*12/1000000</f>
        <v>26.238912</v>
      </c>
      <c r="D9" s="39" t="n">
        <f aca="false">(4*55000*12*(Assumptions!$B$12*(1 - 0.68) - Assumptions!$B$20 - Assumptions!$B$22 - Assumptions!$B$23 - Assumptions!$B$24 - Assumptions!$B$12*Assumptions!$B$21))/1000000-(500000+30000+50000+14000+45000)*12/1000000</f>
        <v>29.6296032</v>
      </c>
      <c r="E9" s="39" t="n">
        <f aca="false">(4*65000*12*(Assumptions!$B$12*(1 - 0.68) - Assumptions!$B$20 - Assumptions!$B$22 - Assumptions!$B$23 - Assumptions!$B$24 - Assumptions!$B$12*Assumptions!$B$21))/1000000-(500000+30000+50000+14000+45000)*12/1000000</f>
        <v>36.4109856</v>
      </c>
      <c r="F9" s="39" t="n">
        <f aca="false">(4*80000*12*(Assumptions!$B$12*(1 - 0.68) - Assumptions!$B$20 - Assumptions!$B$22 - Assumptions!$B$23 - Assumptions!$B$24 - Assumptions!$B$12*Assumptions!$B$21))/1000000-(500000+30000+50000+14000+45000)*12/1000000</f>
        <v>46.5830592</v>
      </c>
    </row>
    <row r="10" customFormat="false" ht="15" hidden="false" customHeight="false" outlineLevel="0" collapsed="false">
      <c r="A10" s="38" t="n">
        <v>0.72</v>
      </c>
      <c r="B10" s="39" t="n">
        <f aca="false">(4*40000*12*(Assumptions!$B$12*(1 - 0.72) - Assumptions!$B$20 - Assumptions!$B$22 - Assumptions!$B$23 - Assumptions!$B$24 - Assumptions!$B$12*Assumptions!$B$21))/1000000-(500000+30000+50000+14000+45000)*12/1000000</f>
        <v>14.7973056</v>
      </c>
      <c r="C10" s="39" t="n">
        <f aca="false">(4*50000*12*(Assumptions!$B$12*(1 - 0.72) - Assumptions!$B$20 - Assumptions!$B$22 - Assumptions!$B$23 - Assumptions!$B$24 - Assumptions!$B$12*Assumptions!$B$21))/1000000-(500000+30000+50000+14000+45000)*12/1000000</f>
        <v>20.413632</v>
      </c>
      <c r="D10" s="39" t="n">
        <f aca="false">(4*55000*12*(Assumptions!$B$12*(1 - 0.72) - Assumptions!$B$20 - Assumptions!$B$22 - Assumptions!$B$23 - Assumptions!$B$24 - Assumptions!$B$12*Assumptions!$B$21))/1000000-(500000+30000+50000+14000+45000)*12/1000000</f>
        <v>23.2217952</v>
      </c>
      <c r="E10" s="39" t="n">
        <f aca="false">(4*65000*12*(Assumptions!$B$12*(1 - 0.72) - Assumptions!$B$20 - Assumptions!$B$22 - Assumptions!$B$23 - Assumptions!$B$24 - Assumptions!$B$12*Assumptions!$B$21))/1000000-(500000+30000+50000+14000+45000)*12/1000000</f>
        <v>28.8381216</v>
      </c>
      <c r="F10" s="39" t="n">
        <f aca="false">(4*80000*12*(Assumptions!$B$12*(1 - 0.72) - Assumptions!$B$20 - Assumptions!$B$22 - Assumptions!$B$23 - Assumptions!$B$24 - Assumptions!$B$12*Assumptions!$B$21))/1000000-(500000+30000+50000+14000+45000)*12/1000000</f>
        <v>37.2626112</v>
      </c>
    </row>
    <row r="11" customFormat="false" ht="15" hidden="false" customHeight="false" outlineLevel="0" collapsed="false">
      <c r="A11" s="38" t="n">
        <v>0.76</v>
      </c>
      <c r="B11" s="39" t="n">
        <f aca="false">(4*40000*12*(Assumptions!$B$12*(1 - 0.76) - Assumptions!$B$20 - Assumptions!$B$22 - Assumptions!$B$23 - Assumptions!$B$24 - Assumptions!$B$12*Assumptions!$B$21))/1000000-(500000+30000+50000+14000+45000)*12/1000000</f>
        <v>10.1370816</v>
      </c>
      <c r="C11" s="39" t="n">
        <f aca="false">(4*50000*12*(Assumptions!$B$12*(1 - 0.76) - Assumptions!$B$20 - Assumptions!$B$22 - Assumptions!$B$23 - Assumptions!$B$24 - Assumptions!$B$12*Assumptions!$B$21))/1000000-(500000+30000+50000+14000+45000)*12/1000000</f>
        <v>14.588352</v>
      </c>
      <c r="D11" s="39" t="n">
        <f aca="false">(4*55000*12*(Assumptions!$B$12*(1 - 0.76) - Assumptions!$B$20 - Assumptions!$B$22 - Assumptions!$B$23 - Assumptions!$B$24 - Assumptions!$B$12*Assumptions!$B$21))/1000000-(500000+30000+50000+14000+45000)*12/1000000</f>
        <v>16.8139872</v>
      </c>
      <c r="E11" s="39" t="n">
        <f aca="false">(4*65000*12*(Assumptions!$B$12*(1 - 0.76) - Assumptions!$B$20 - Assumptions!$B$22 - Assumptions!$B$23 - Assumptions!$B$24 - Assumptions!$B$12*Assumptions!$B$21))/1000000-(500000+30000+50000+14000+45000)*12/1000000</f>
        <v>21.2652576</v>
      </c>
      <c r="F11" s="39" t="n">
        <f aca="false">(4*80000*12*(Assumptions!$B$12*(1 - 0.76) - Assumptions!$B$20 - Assumptions!$B$22 - Assumptions!$B$23 - Assumptions!$B$24 - Assumptions!$B$12*Assumptions!$B$21))/1000000-(500000+30000+50000+14000+45000)*12/1000000</f>
        <v>27.9421632</v>
      </c>
    </row>
    <row r="14" customFormat="false" ht="15" hidden="false" customHeight="false" outlineLevel="0" collapsed="false">
      <c r="A14" s="21" t="s">
        <v>128</v>
      </c>
    </row>
    <row r="15" customFormat="false" ht="15" hidden="false" customHeight="false" outlineLevel="0" collapsed="false">
      <c r="A15" s="4" t="s">
        <v>129</v>
      </c>
    </row>
    <row r="16" customFormat="false" ht="15" hidden="false" customHeight="false" outlineLevel="0" collapsed="false">
      <c r="A16" s="4" t="s">
        <v>130</v>
      </c>
    </row>
    <row r="17" customFormat="false" ht="15" hidden="false" customHeight="false" outlineLevel="0" collapsed="false">
      <c r="A17" s="4" t="s">
        <v>131</v>
      </c>
    </row>
    <row r="18" customFormat="false" ht="15" hidden="false" customHeight="false" outlineLevel="0" collapsed="false">
      <c r="A18" s="40" t="s">
        <v>132</v>
      </c>
    </row>
  </sheetData>
  <mergeCells count="1">
    <mergeCell ref="B5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60"/>
  </cols>
  <sheetData>
    <row r="1" customFormat="false" ht="19.7" hidden="false" customHeight="false" outlineLevel="0" collapsed="false">
      <c r="A1" s="12" t="s">
        <v>133</v>
      </c>
    </row>
    <row r="2" customFormat="false" ht="15" hidden="false" customHeight="false" outlineLevel="0" collapsed="false">
      <c r="A2" s="2" t="s">
        <v>134</v>
      </c>
    </row>
    <row r="4" customFormat="false" ht="15" hidden="false" customHeight="false" outlineLevel="0" collapsed="false">
      <c r="A4" s="23" t="s">
        <v>135</v>
      </c>
      <c r="B4" s="23" t="s">
        <v>136</v>
      </c>
      <c r="C4" s="23" t="s">
        <v>137</v>
      </c>
      <c r="D4" s="23" t="s">
        <v>138</v>
      </c>
    </row>
    <row r="5" customFormat="false" ht="22.35" hidden="false" customHeight="false" outlineLevel="0" collapsed="false">
      <c r="A5" s="4" t="s">
        <v>139</v>
      </c>
      <c r="B5" s="41" t="n">
        <v>1.6</v>
      </c>
      <c r="C5" s="15" t="n">
        <f aca="false">B5/$B$11</f>
        <v>0.32</v>
      </c>
      <c r="D5" s="6" t="s">
        <v>140</v>
      </c>
    </row>
    <row r="6" customFormat="false" ht="15" hidden="false" customHeight="false" outlineLevel="0" collapsed="false">
      <c r="A6" s="4" t="s">
        <v>141</v>
      </c>
      <c r="B6" s="41" t="n">
        <v>1.2</v>
      </c>
      <c r="C6" s="15" t="n">
        <f aca="false">B6/$B$11</f>
        <v>0.24</v>
      </c>
      <c r="D6" s="6" t="s">
        <v>142</v>
      </c>
    </row>
    <row r="7" customFormat="false" ht="15" hidden="false" customHeight="false" outlineLevel="0" collapsed="false">
      <c r="A7" s="4" t="s">
        <v>143</v>
      </c>
      <c r="B7" s="41" t="n">
        <v>0.6</v>
      </c>
      <c r="C7" s="15" t="n">
        <f aca="false">B7/$B$11</f>
        <v>0.12</v>
      </c>
      <c r="D7" s="6" t="s">
        <v>144</v>
      </c>
    </row>
    <row r="8" customFormat="false" ht="15" hidden="false" customHeight="false" outlineLevel="0" collapsed="false">
      <c r="A8" s="4" t="s">
        <v>145</v>
      </c>
      <c r="B8" s="41" t="n">
        <v>0.5</v>
      </c>
      <c r="C8" s="15" t="n">
        <f aca="false">B8/$B$11</f>
        <v>0.1</v>
      </c>
      <c r="D8" s="6" t="s">
        <v>146</v>
      </c>
    </row>
    <row r="9" customFormat="false" ht="15" hidden="false" customHeight="false" outlineLevel="0" collapsed="false">
      <c r="A9" s="4" t="s">
        <v>147</v>
      </c>
      <c r="B9" s="41" t="n">
        <v>0.7</v>
      </c>
      <c r="C9" s="15" t="n">
        <f aca="false">B9/$B$11</f>
        <v>0.14</v>
      </c>
      <c r="D9" s="6" t="s">
        <v>148</v>
      </c>
    </row>
    <row r="10" customFormat="false" ht="15" hidden="false" customHeight="false" outlineLevel="0" collapsed="false">
      <c r="A10" s="4" t="s">
        <v>149</v>
      </c>
      <c r="B10" s="41" t="n">
        <v>0.4</v>
      </c>
      <c r="C10" s="15" t="n">
        <f aca="false">B10/$B$11</f>
        <v>0.08</v>
      </c>
      <c r="D10" s="6" t="s">
        <v>150</v>
      </c>
    </row>
    <row r="11" customFormat="false" ht="15" hidden="false" customHeight="false" outlineLevel="0" collapsed="false">
      <c r="A11" s="32" t="s">
        <v>151</v>
      </c>
      <c r="B11" s="42" t="n">
        <f aca="false">SUM(B5:B10)</f>
        <v>5</v>
      </c>
      <c r="C11" s="43" t="n">
        <f aca="false">SUM(C5:C10)</f>
        <v>1</v>
      </c>
    </row>
    <row r="13" customFormat="false" ht="15" hidden="false" customHeight="false" outlineLevel="0" collapsed="false">
      <c r="A13" s="21" t="s">
        <v>152</v>
      </c>
    </row>
    <row r="14" customFormat="false" ht="15" hidden="false" customHeight="true" outlineLevel="0" collapsed="false">
      <c r="A14" s="36" t="s">
        <v>81</v>
      </c>
      <c r="B14" s="44" t="s">
        <v>153</v>
      </c>
      <c r="C14" s="44"/>
      <c r="D14" s="44"/>
    </row>
    <row r="15" customFormat="false" ht="15" hidden="false" customHeight="true" outlineLevel="0" collapsed="false">
      <c r="A15" s="36" t="s">
        <v>84</v>
      </c>
      <c r="B15" s="44" t="s">
        <v>154</v>
      </c>
      <c r="C15" s="44"/>
      <c r="D15" s="44"/>
    </row>
    <row r="16" customFormat="false" ht="15" hidden="false" customHeight="true" outlineLevel="0" collapsed="false">
      <c r="A16" s="36" t="s">
        <v>87</v>
      </c>
      <c r="B16" s="44" t="s">
        <v>155</v>
      </c>
      <c r="C16" s="44"/>
      <c r="D16" s="44"/>
    </row>
    <row r="17" customFormat="false" ht="15" hidden="false" customHeight="true" outlineLevel="0" collapsed="false">
      <c r="A17" s="36" t="s">
        <v>90</v>
      </c>
      <c r="B17" s="44" t="s">
        <v>156</v>
      </c>
      <c r="C17" s="44"/>
      <c r="D17" s="44"/>
    </row>
    <row r="18" customFormat="false" ht="15" hidden="false" customHeight="true" outlineLevel="0" collapsed="false">
      <c r="A18" s="36" t="s">
        <v>93</v>
      </c>
      <c r="B18" s="44" t="s">
        <v>157</v>
      </c>
      <c r="C18" s="44"/>
      <c r="D18" s="44"/>
    </row>
    <row r="19" customFormat="false" ht="15" hidden="false" customHeight="true" outlineLevel="0" collapsed="false">
      <c r="A19" s="36" t="s">
        <v>96</v>
      </c>
      <c r="B19" s="44" t="s">
        <v>158</v>
      </c>
      <c r="C19" s="44"/>
      <c r="D19" s="44"/>
    </row>
  </sheetData>
  <mergeCells count="6">
    <mergeCell ref="B14:D14"/>
    <mergeCell ref="B15:D15"/>
    <mergeCell ref="B16:D16"/>
    <mergeCell ref="B17:D17"/>
    <mergeCell ref="B18:D18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2026-05-07T21:05:44Z</dcterms:created>
  <dc:creator>openpyxl</dc:creator>
  <dc:description/>
  <dc:language>en-US</dc:language>
  <cp:lastModifiedBy/>
  <dcterms:modified xsi:type="dcterms:W3CDTF">2026-05-07T21:05:44Z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